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3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3 ARBEIT, ERWERB\Arbeit und Erwerb - Strukturerhebung\2022\"/>
    </mc:Choice>
  </mc:AlternateContent>
  <workbookProtection lockStructure="1"/>
  <bookViews>
    <workbookView xWindow="-120" yWindow="-120" windowWidth="29040" windowHeight="15720"/>
  </bookViews>
  <sheets>
    <sheet name="Schweiz" sheetId="1" r:id="rId1"/>
    <sheet name="Graubünden" sheetId="3" r:id="rId2"/>
    <sheet name="Uebersetzungen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4" i="3" l="1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D14" i="1"/>
  <c r="C14" i="1"/>
  <c r="C13" i="3"/>
  <c r="B16" i="3"/>
  <c r="A15" i="3"/>
  <c r="A10" i="3"/>
  <c r="A9" i="3"/>
  <c r="A49" i="1"/>
  <c r="A43" i="1"/>
  <c r="B16" i="1"/>
  <c r="A16" i="1"/>
  <c r="A15" i="1"/>
  <c r="C13" i="1"/>
  <c r="A10" i="1"/>
  <c r="A7" i="1"/>
  <c r="A9" i="1"/>
  <c r="A16" i="3" l="1"/>
  <c r="B45" i="3" l="1"/>
  <c r="B44" i="3"/>
  <c r="B43" i="3"/>
  <c r="B41" i="3"/>
  <c r="B42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A43" i="3"/>
  <c r="A32" i="3"/>
  <c r="A27" i="3"/>
  <c r="A22" i="3"/>
  <c r="A18" i="3"/>
  <c r="A53" i="3" l="1"/>
  <c r="A52" i="3"/>
  <c r="A50" i="3"/>
  <c r="A49" i="3"/>
  <c r="A48" i="3"/>
  <c r="A47" i="3"/>
  <c r="A7" i="3" l="1"/>
  <c r="U13" i="3"/>
  <c r="S13" i="3"/>
  <c r="Q13" i="3"/>
  <c r="O13" i="3"/>
  <c r="M13" i="3"/>
  <c r="K13" i="3"/>
  <c r="I13" i="3"/>
  <c r="G13" i="3"/>
  <c r="E13" i="3"/>
  <c r="U13" i="1" l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I14" i="1"/>
  <c r="E14" i="1"/>
  <c r="B17" i="1" l="1"/>
  <c r="A48" i="1"/>
  <c r="A44" i="1"/>
  <c r="S13" i="1"/>
  <c r="Q13" i="1"/>
  <c r="O13" i="1"/>
  <c r="M13" i="1"/>
  <c r="K13" i="1"/>
  <c r="I13" i="1"/>
  <c r="G13" i="1"/>
  <c r="E13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H14" i="1"/>
  <c r="G14" i="1"/>
  <c r="F14" i="1"/>
  <c r="A45" i="1" l="1"/>
  <c r="A46" i="1"/>
</calcChain>
</file>

<file path=xl/sharedStrings.xml><?xml version="1.0" encoding="utf-8"?>
<sst xmlns="http://schemas.openxmlformats.org/spreadsheetml/2006/main" count="547" uniqueCount="334">
  <si>
    <t>Anzahl Personen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</si>
  <si>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</si>
  <si>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</si>
  <si>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</si>
  <si>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</si>
  <si>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</si>
  <si>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</si>
  <si>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</si>
  <si>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</si>
  <si>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</si>
  <si>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</si>
  <si>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T1-2</t>
  </si>
  <si>
    <t>&lt;Titel&gt;</t>
  </si>
  <si>
    <t>&lt;UTitel&gt;</t>
  </si>
  <si>
    <t>Ständige schweizerische Wohnbevölkerung ab 15 Jahren</t>
  </si>
  <si>
    <t>Populaziun residenta permanenta da la Svizra a partir da 15 onns</t>
  </si>
  <si>
    <t>Popolazione residente permanente svizzera di 15 anni e più</t>
  </si>
  <si>
    <t>&lt;SpaltenTitel_1&gt;</t>
  </si>
  <si>
    <t>Total</t>
  </si>
  <si>
    <t>Totale</t>
  </si>
  <si>
    <t>&lt;SpaltenTitel_2&gt;</t>
  </si>
  <si>
    <t>Erwerbspersonen</t>
  </si>
  <si>
    <t>&lt;SpaltenTitel_3&gt;</t>
  </si>
  <si>
    <t>Erwerbstätige</t>
  </si>
  <si>
    <t>&lt;SpaltenTitel_4&gt;</t>
  </si>
  <si>
    <t>Selbständige</t>
  </si>
  <si>
    <t>&lt;SpaltenTitel_5&gt;</t>
  </si>
  <si>
    <t>Mitarbeitende Familienmitglieder</t>
  </si>
  <si>
    <t>Collavuratur(a)s Commembranza(a)s</t>
  </si>
  <si>
    <t>&lt;SpaltenTitel_6&gt;</t>
  </si>
  <si>
    <t>Firmeneigentümer/-innen (AG oder GmbH)</t>
  </si>
  <si>
    <t>Proprietaris da firmas (SA u ScRL)</t>
  </si>
  <si>
    <t>&lt;SpaltenTitel_7&gt;</t>
  </si>
  <si>
    <t>Angestellte</t>
  </si>
  <si>
    <t>&lt;SpaltenTitel_8&gt;</t>
  </si>
  <si>
    <t>Lernende in der dualen beruflichen Grundbildung</t>
  </si>
  <si>
    <t>Emprendistas ed emprendists en la furmaziun fundamentala professiunala duala</t>
  </si>
  <si>
    <t>&lt;SpaltenTitel_9&gt;</t>
  </si>
  <si>
    <t>Erwerbslose</t>
  </si>
  <si>
    <t>&lt;SpaltenTitel_10&gt;</t>
  </si>
  <si>
    <t>Nichterwerbspersonen</t>
  </si>
  <si>
    <t>&lt;SpaltenTitel_1.1&gt;</t>
  </si>
  <si>
    <t>Dumber da persunas</t>
  </si>
  <si>
    <t>Numero di persone</t>
  </si>
  <si>
    <t>&lt;SpaltenTitel_1.2&gt;</t>
  </si>
  <si>
    <t>Vertrauens- intervall:          ± (in %)</t>
  </si>
  <si>
    <t>Interval da confidenza:          ± (en %)</t>
  </si>
  <si>
    <t>Intervallo di confidenza:          ± (in %)</t>
  </si>
  <si>
    <t>T1</t>
  </si>
  <si>
    <t>&lt;Zeilentitel_1&gt;</t>
  </si>
  <si>
    <t>&lt;Zeilentitel_2&gt;</t>
  </si>
  <si>
    <t>Kanton</t>
  </si>
  <si>
    <t>Chantun</t>
  </si>
  <si>
    <t>Cantone</t>
  </si>
  <si>
    <t>&lt;Zeilentitel_2.1&gt;</t>
  </si>
  <si>
    <t>Zürich</t>
  </si>
  <si>
    <t>Turitg</t>
  </si>
  <si>
    <t>Zurigo</t>
  </si>
  <si>
    <t>&lt;Zeilentitel_2.2&gt;</t>
  </si>
  <si>
    <t>Bern</t>
  </si>
  <si>
    <t>Berna</t>
  </si>
  <si>
    <t>&lt;Zeilentitel_2.3&gt;</t>
  </si>
  <si>
    <t>Luzern</t>
  </si>
  <si>
    <t>Lucerna</t>
  </si>
  <si>
    <t>&lt;Zeilentitel_2.4&gt;</t>
  </si>
  <si>
    <t>Uri</t>
  </si>
  <si>
    <t>&lt;Zeilentitel_2.5&gt;</t>
  </si>
  <si>
    <t>Schwyz</t>
  </si>
  <si>
    <t>Sviz</t>
  </si>
  <si>
    <t>Svitto</t>
  </si>
  <si>
    <t>&lt;Zeilentitel_2.6&gt;</t>
  </si>
  <si>
    <t>Obwalden</t>
  </si>
  <si>
    <t>Sursilvania</t>
  </si>
  <si>
    <t>Obvaldo</t>
  </si>
  <si>
    <t>&lt;Zeilentitel_2.7&gt;</t>
  </si>
  <si>
    <t>Nidwalden</t>
  </si>
  <si>
    <t>Sutsilvania</t>
  </si>
  <si>
    <t>Nidvaldo</t>
  </si>
  <si>
    <t>&lt;Zeilentitel_2.8&gt;</t>
  </si>
  <si>
    <t>Glarus</t>
  </si>
  <si>
    <t>Glaruna</t>
  </si>
  <si>
    <t>Glarona</t>
  </si>
  <si>
    <t>&lt;Zeilentitel_2.9&gt;</t>
  </si>
  <si>
    <t>Zug</t>
  </si>
  <si>
    <t>Zugo</t>
  </si>
  <si>
    <t>&lt;Zeilentitel_2.10&gt;</t>
  </si>
  <si>
    <t>Freiburg</t>
  </si>
  <si>
    <t>Friburg</t>
  </si>
  <si>
    <t>Friborgo</t>
  </si>
  <si>
    <t>&lt;Zeilentitel_2.11&gt;</t>
  </si>
  <si>
    <t>Solothurn</t>
  </si>
  <si>
    <t>Soloturn</t>
  </si>
  <si>
    <t>Soletta</t>
  </si>
  <si>
    <t>&lt;Zeilentitel_2.12&gt;</t>
  </si>
  <si>
    <t>Basel-Stadt</t>
  </si>
  <si>
    <t>Basilea-Citad</t>
  </si>
  <si>
    <t>Basilea Città</t>
  </si>
  <si>
    <t>&lt;Zeilentitel_2.13&gt;</t>
  </si>
  <si>
    <t>Basel-Landschaft</t>
  </si>
  <si>
    <t>Basilea-Champagna</t>
  </si>
  <si>
    <t>Basilea Campagna</t>
  </si>
  <si>
    <t>&lt;Zeilentitel_2.14&gt;</t>
  </si>
  <si>
    <t>Schaffhausen</t>
  </si>
  <si>
    <t>Schaffusa</t>
  </si>
  <si>
    <t>Sciaffusa</t>
  </si>
  <si>
    <t>&lt;Zeilentitel_2.15&gt;</t>
  </si>
  <si>
    <t>Appenzell Ausserrhoden</t>
  </si>
  <si>
    <t>Appenzell Dadora</t>
  </si>
  <si>
    <t>Appenzello Esterno</t>
  </si>
  <si>
    <t>&lt;Zeilentitel_2.16&gt;</t>
  </si>
  <si>
    <t>Appenzell Innerrhoden</t>
  </si>
  <si>
    <t>Appenzell Dadens</t>
  </si>
  <si>
    <t>Appenzello Interno</t>
  </si>
  <si>
    <t>&lt;Zeilentitel_2.17&gt;</t>
  </si>
  <si>
    <t>St. Gallen</t>
  </si>
  <si>
    <t>Son Gagl</t>
  </si>
  <si>
    <t>San Gallo</t>
  </si>
  <si>
    <t>&lt;Zeilentitel_2.18&gt;</t>
  </si>
  <si>
    <t>Graubünden</t>
  </si>
  <si>
    <t>Grischun</t>
  </si>
  <si>
    <t>Grigioni</t>
  </si>
  <si>
    <t>&lt;Zeilentitel_2.19&gt;</t>
  </si>
  <si>
    <t>Aargau</t>
  </si>
  <si>
    <t>Argovia</t>
  </si>
  <si>
    <t>&lt;Zeilentitel_2.20&gt;</t>
  </si>
  <si>
    <t>Thurgau</t>
  </si>
  <si>
    <t>Turgovia</t>
  </si>
  <si>
    <t>&lt;Zeilentitel_2.21&gt;</t>
  </si>
  <si>
    <t>Ticino</t>
  </si>
  <si>
    <t>Tessin</t>
  </si>
  <si>
    <t>&lt;Zeilentitel_2.22&gt;</t>
  </si>
  <si>
    <t>Vaud</t>
  </si>
  <si>
    <t>Vad</t>
  </si>
  <si>
    <t>&lt;Zeilentitel_2.23&gt;</t>
  </si>
  <si>
    <t>Wallis</t>
  </si>
  <si>
    <t>Vallais</t>
  </si>
  <si>
    <t>Vallese</t>
  </si>
  <si>
    <t>&lt;Zeilentitel_2.24&gt;</t>
  </si>
  <si>
    <t>Neuchâtel</t>
  </si>
  <si>
    <t>&lt;Zeilentitel_2.25&gt;</t>
  </si>
  <si>
    <t>Genève</t>
  </si>
  <si>
    <t>Genevra</t>
  </si>
  <si>
    <t>Ginevra</t>
  </si>
  <si>
    <t>&lt;Zeilentitel_2.26&gt;</t>
  </si>
  <si>
    <t>Jura</t>
  </si>
  <si>
    <t>Giura</t>
  </si>
  <si>
    <t>&lt;Legende_1&gt;</t>
  </si>
  <si>
    <t>(): Extrapolation aufgrund von 49 oder weniger Beobachtungen. Die Resultate sind mit grosser Vorsicht zu interpretieren.</t>
  </si>
  <si>
    <t>(): Extrapolaziun sin basa da 49 u damain observaziuns. Ils resultats ston vegnir interpretads cun gronda precauziun.</t>
  </si>
  <si>
    <t>(): Estrapolazione basata su meno di 50 osservazioni. I risultati sono da interpretare con molta precauzione.</t>
  </si>
  <si>
    <t>&lt;Legende_2&gt;</t>
  </si>
  <si>
    <t>X: Extrapolation aufgrund von 4 oder weniger Beobachtungen. Die Resultate werden aus Gründen des Datenschutzes nicht publiziert.</t>
  </si>
  <si>
    <t>X: Extrapolaziun pervia da 4 u damain observaziuns. Per motivs da la protecziun da datas na vegnan ils resultats betg publitgads.</t>
  </si>
  <si>
    <t>X : Estrapolazione basata su meno di 5 osservazioni. I risultati non sono pubblicati per ragioni legate alla protezione dei dati.</t>
  </si>
  <si>
    <t>&lt;Legende_3&gt;</t>
  </si>
  <si>
    <t>Die Grundgesamtheit der Strukturerhebung enthält alle Personen der ständigen Wohnbevölkerung ab vollendetem 15. Altersjahr, die in Privathaushalten leben.</t>
  </si>
  <si>
    <t>La survista da basa da l'enquista da structura cumpiglia tut las persunas da la populaziun residenta permanenta a partir da 15 onns che vivan en chasadas privatas.</t>
  </si>
  <si>
    <t>L'universo di base della rilevazione strutturale comprende tutte le persone facenti parte della popolazione residente permanente di 15 anni e più che vivono in un'economia domestica.</t>
  </si>
  <si>
    <t>&lt;Legende_4&gt;</t>
  </si>
  <si>
    <t>Aus der Grundgesamtheit ausgeschlossen wurden neben den Personen, die in Kollektivhaushalten leben, auch Diplomaten, internationale Funktionäre und deren Angehörige.</t>
  </si>
  <si>
    <t>Exclus da la totalitad fundamentala èn vegnids ultra da las persunas che vivan en chasadas collectivas er diplomats, funcziunaris internaziunals e lur confamigliars.</t>
  </si>
  <si>
    <t>Sono esclusi diplomatici, i funzionari internazionali ed i loro familiari e le persone che vivono in una collettività.</t>
  </si>
  <si>
    <t>&lt;Legende_5&gt;</t>
  </si>
  <si>
    <t>&lt;Quelle_1&gt;</t>
  </si>
  <si>
    <t>Quelle: BFS (Strukturerhebung)</t>
  </si>
  <si>
    <t>Funtauna: UST (enquista da structura)</t>
  </si>
  <si>
    <t>Fonte: UST (Rilevazione strutturale)</t>
  </si>
  <si>
    <t>&lt;Aktualisierung&gt;</t>
  </si>
  <si>
    <t>T2</t>
  </si>
  <si>
    <t>&lt;T2Zeilentitel_1&gt;</t>
  </si>
  <si>
    <t>&lt;T2Zeilentitel_2&gt;</t>
  </si>
  <si>
    <t>Geschlecht</t>
  </si>
  <si>
    <t>Gender</t>
  </si>
  <si>
    <t>Sesso</t>
  </si>
  <si>
    <t>&lt;T2Zeilentitel_3&gt;</t>
  </si>
  <si>
    <t>Alter</t>
  </si>
  <si>
    <t>Vegliadetgna</t>
  </si>
  <si>
    <t>Età</t>
  </si>
  <si>
    <t>&lt;T2Zeilentitel_4&gt;</t>
  </si>
  <si>
    <t>Staatsangehörigkeit</t>
  </si>
  <si>
    <t>Naziunalitad</t>
  </si>
  <si>
    <t>&lt;T2Zeilentitel_5&gt;</t>
  </si>
  <si>
    <t>Migrationsstatus</t>
  </si>
  <si>
    <t>Status da migraziun</t>
  </si>
  <si>
    <t>&lt;T2Zeilentitel_6&gt;</t>
  </si>
  <si>
    <t>Sozioprofessionelle Kategorien</t>
  </si>
  <si>
    <t>Categorias socioprofessiunalas</t>
  </si>
  <si>
    <t>&lt;T2Zeilentitel_7&gt;</t>
  </si>
  <si>
    <t>Höchste abgeschlossene Ausbildung</t>
  </si>
  <si>
    <t>La pli auta scolaziun terminada</t>
  </si>
  <si>
    <t>&lt;T2Zeilentitel_2.1&gt;</t>
  </si>
  <si>
    <t>Männer</t>
  </si>
  <si>
    <t>Umens</t>
  </si>
  <si>
    <t>&lt;T2Zeilentitel_2.2&gt;</t>
  </si>
  <si>
    <t>Frauen</t>
  </si>
  <si>
    <t>Dunnas</t>
  </si>
  <si>
    <t>&lt;T2Zeilentitel_3.1&gt;</t>
  </si>
  <si>
    <t>15-24</t>
  </si>
  <si>
    <t>&lt;T2Zeilentitel_3.2&gt;</t>
  </si>
  <si>
    <t>25-44</t>
  </si>
  <si>
    <t>&lt;T2Zeilentitel_3.3&gt;</t>
  </si>
  <si>
    <t>45-64</t>
  </si>
  <si>
    <t>&lt;T2Zeilentitel_3.4&gt;</t>
  </si>
  <si>
    <t>65 und mehr</t>
  </si>
  <si>
    <t>65 e dapli</t>
  </si>
  <si>
    <t>&lt;T2Zeilentitel_4.1&gt;</t>
  </si>
  <si>
    <t>Schweiz</t>
  </si>
  <si>
    <t>Svizra</t>
  </si>
  <si>
    <t>&lt;T2Zeilentitel_4.2&gt;</t>
  </si>
  <si>
    <t>EU28 und EFTA</t>
  </si>
  <si>
    <t>UE28 ed AECL</t>
  </si>
  <si>
    <t>&lt;T2Zeilentitel_4.3&gt;</t>
  </si>
  <si>
    <t>Andere europäische Staaten</t>
  </si>
  <si>
    <t>Auters stadis europeics</t>
  </si>
  <si>
    <t>&lt;T2Zeilentitel_4.4&gt;</t>
  </si>
  <si>
    <t>Andere Staaten</t>
  </si>
  <si>
    <t>Auters stadis</t>
  </si>
  <si>
    <t>&lt;T2Zeilentitel_4.5&gt;</t>
  </si>
  <si>
    <t>Staatsangehörigkeit unbekannt</t>
  </si>
  <si>
    <t>Naziunalitad n'è betg enconuschenta</t>
  </si>
  <si>
    <t>&lt;T2Zeilentitel_5.1&gt;</t>
  </si>
  <si>
    <t>Schweizer/innen ohne Migrationshintergrund</t>
  </si>
  <si>
    <t>Svizzers senza retroterra da migraziun</t>
  </si>
  <si>
    <t>&lt;T2Zeilentitel_5.2&gt;</t>
  </si>
  <si>
    <t>Schweizer/innen mit Migrationshintergrund</t>
  </si>
  <si>
    <t>Svizzers cun ina migraziun</t>
  </si>
  <si>
    <t>&lt;T2Zeilentitel_5.3&gt;</t>
  </si>
  <si>
    <t>Ausländer/innen der ersten Generation</t>
  </si>
  <si>
    <t>Persunas estras da l'emprima generaziun</t>
  </si>
  <si>
    <t>&lt;T2Zeilentitel_5.4&gt;</t>
  </si>
  <si>
    <t>Ausländer/innen der zweiten und höheren Generation</t>
  </si>
  <si>
    <t>Persunas estras da la segunda generaziun e da l'emprima</t>
  </si>
  <si>
    <t>&lt;T2Zeilentitel_5.5&gt;</t>
  </si>
  <si>
    <t>Migrationshintergrund unbekannt</t>
  </si>
  <si>
    <t>La migraziun n'è betg enconuschenta</t>
  </si>
  <si>
    <t>&lt;T2Zeilentitel_6.1&gt;</t>
  </si>
  <si>
    <t>Oberstes Management</t>
  </si>
  <si>
    <t>Management suprem</t>
  </si>
  <si>
    <t>&lt;T2Zeilentitel_6.2&gt;</t>
  </si>
  <si>
    <t>Freie und gleichgestellte Berufe</t>
  </si>
  <si>
    <t>Professiuns libras ed egualas</t>
  </si>
  <si>
    <t>&lt;T2Zeilentitel_6.3&gt;</t>
  </si>
  <si>
    <t>Andere Selbstständige</t>
  </si>
  <si>
    <t>Autras persunas independentas</t>
  </si>
  <si>
    <t>&lt;T2Zeilentitel_6.4&gt;</t>
  </si>
  <si>
    <t>Akademische Berufe und oberes Kader</t>
  </si>
  <si>
    <t>Professiuns academicas e cader superiur</t>
  </si>
  <si>
    <t>&lt;T2Zeilentitel_6.5&gt;</t>
  </si>
  <si>
    <t>Intermediäre Berufe</t>
  </si>
  <si>
    <t>Professiuns intermediaras</t>
  </si>
  <si>
    <t>&lt;T2Zeilentitel_6.6&gt;</t>
  </si>
  <si>
    <t>Qualifizierte nichtmanuelle Berufe</t>
  </si>
  <si>
    <t>Professiuns betg manualas qualifitgadas</t>
  </si>
  <si>
    <t>&lt;T2Zeilentitel_6.7&gt;</t>
  </si>
  <si>
    <t>Qualifizierte manuelle Berufe</t>
  </si>
  <si>
    <t>Professiuns manualas qualifitgadas</t>
  </si>
  <si>
    <t>&lt;T2Zeilentitel_6.8&gt;</t>
  </si>
  <si>
    <t>Ungelernte Angestellte und Arbeiter</t>
  </si>
  <si>
    <t>Emploiads e lavurants betg emprendids</t>
  </si>
  <si>
    <t>&lt;T2Zeilentitel_6.9&gt;</t>
  </si>
  <si>
    <t>Lernende in dualer beruflicher Grundbildung (Lehrlinge)</t>
  </si>
  <si>
    <t>Emprendistas ed emprendists en ina furmaziun fundamentala professiunala dubla (emprendists)</t>
  </si>
  <si>
    <t>&lt;T2Zeilentitel_6.10&gt;</t>
  </si>
  <si>
    <t>Nicht zuteilbare Erwerbstätige (fehlende oder unklare Basisdaten oder unplausible Kombination)</t>
  </si>
  <si>
    <t>Persunas cun activitad da gudogn che n'èn betg attribuiblas (datas da basa mancantas u betg cleras u ina cumbinaziun inclausibla)</t>
  </si>
  <si>
    <t>&lt;T2Zeilentitel_6.11&gt;</t>
  </si>
  <si>
    <t>Erwerbslose und Nichterwerbspersonen</t>
  </si>
  <si>
    <t>Persunas senza activitad da gudogn e persunas senza activitad da gudogn</t>
  </si>
  <si>
    <t>&lt;T2Zeilentitel_7.1&gt;</t>
  </si>
  <si>
    <t>Obligatorische Schule</t>
  </si>
  <si>
    <t>Scola obligatorica</t>
  </si>
  <si>
    <t>&lt;T2Zeilentitel_7.2&gt;</t>
  </si>
  <si>
    <t>Sekundarstufe II</t>
  </si>
  <si>
    <t>Stgalim secundar II</t>
  </si>
  <si>
    <t>&lt;T2Zeilentitel_7.3&gt;</t>
  </si>
  <si>
    <t>Tertiärstufe</t>
  </si>
  <si>
    <t>Stgalim terziar</t>
  </si>
  <si>
    <t>&lt;T2Aktualisierung&gt;</t>
  </si>
  <si>
    <t>Erwerbsstatus nach Kanton</t>
  </si>
  <si>
    <t>Erwerbsstatus im Kanton Graubünden</t>
  </si>
  <si>
    <t>&lt;T2Titel&gt;</t>
  </si>
  <si>
    <t>Condizione professionale secondo il Cantone</t>
  </si>
  <si>
    <t>Persunas cun gudogn</t>
  </si>
  <si>
    <t>Persunas cun activitad da gudogn</t>
  </si>
  <si>
    <t>Independent</t>
  </si>
  <si>
    <t>Emploiada</t>
  </si>
  <si>
    <t>Persunas senza activitad da gudogn</t>
  </si>
  <si>
    <t>Persone attive</t>
  </si>
  <si>
    <t>Occupati</t>
  </si>
  <si>
    <t>Indipendenti</t>
  </si>
  <si>
    <t>Coadiuvanti nell'agenzia di famiglia</t>
  </si>
  <si>
    <t>Titolari dell'impresa (SA o Sagl)</t>
  </si>
  <si>
    <t>Collaboratori</t>
  </si>
  <si>
    <t>Persone in formazione professionale di base duale</t>
  </si>
  <si>
    <t>Disoccupati</t>
  </si>
  <si>
    <t>Persone senza attività professionale</t>
  </si>
  <si>
    <t>Cittadinanza</t>
  </si>
  <si>
    <t>Passato migratorio</t>
  </si>
  <si>
    <t>Categorie socio-professionali</t>
  </si>
  <si>
    <t>Formazione più elevata conclusa</t>
  </si>
  <si>
    <t>Uomini</t>
  </si>
  <si>
    <t>Donne</t>
  </si>
  <si>
    <t>65 e più</t>
  </si>
  <si>
    <t>Svizzera</t>
  </si>
  <si>
    <t>UE e AELS</t>
  </si>
  <si>
    <t>Altro paese europeo</t>
  </si>
  <si>
    <t>Paese extraeuropeo</t>
  </si>
  <si>
    <t>Cittadinanza sconosciuta</t>
  </si>
  <si>
    <t>Svizzeri/e senza un passato migratorio</t>
  </si>
  <si>
    <t>Svizzeri/e con un passato migratorio</t>
  </si>
  <si>
    <t>Stranieri/e di prima generazione</t>
  </si>
  <si>
    <t>Stranieri/e di seconda generazione e più</t>
  </si>
  <si>
    <t>Passato migratorio sconosciuto</t>
  </si>
  <si>
    <t>Management superiore</t>
  </si>
  <si>
    <t>Professioni liberali ed equiparate</t>
  </si>
  <si>
    <t>Altri indipendenti</t>
  </si>
  <si>
    <t>Professioni accademiche e quadri superiori</t>
  </si>
  <si>
    <t>Professioni intermediarie</t>
  </si>
  <si>
    <t>Professioni qualificate non manuali</t>
  </si>
  <si>
    <t>Professioni qualificate manuali</t>
  </si>
  <si>
    <t>Impiegati e operai non qualificati</t>
  </si>
  <si>
    <t>Persone in formazione professionale di base duale (apprendisti)</t>
  </si>
  <si>
    <t>Occupati non attribuibili (dati di base mancanti)</t>
  </si>
  <si>
    <t>Disoccupati e persone senza attività professionale</t>
  </si>
  <si>
    <t>Senza formazione postobbligatoria</t>
  </si>
  <si>
    <t>Livello secondario II</t>
  </si>
  <si>
    <t>Livello terziario</t>
  </si>
  <si>
    <t>Status d'engaschament tenor il chantun</t>
  </si>
  <si>
    <t>Status d'engaschament en il chantun Grischun</t>
  </si>
  <si>
    <t>Condizione professionale nel Cantone dei Grigioni</t>
  </si>
  <si>
    <t>Letztmals aktualisiert am: 26.01.2024</t>
  </si>
  <si>
    <t>Ultima actualisaziun: 26.01.2024</t>
  </si>
  <si>
    <t>Ulimo aggiornamento: 26.01.2024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</si>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</sst>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_ ;\-#,##0\ "/>
    <numFmt numFmtId="167" formatCode="0.0"/>
    <numFmt numFmtId="168" formatCode="\(0.0\)"/>
    <numFmt numFmtId="169" formatCode="_-* #,##0.00\ _€_-;\-* #,##0.00\ _€_-;_-* &quot;-&quot;??\ _€_-;_-@_-"/>
    <numFmt numFmtId="170" formatCode="* #,###"/>
    <numFmt numFmtId="171" formatCode="\(0\)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161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3" applyFont="1" applyFill="1" applyAlignment="1">
      <alignment horizontal="left" vertical="top"/>
    </xf>
    <xf numFmtId="164" fontId="8" fillId="2" borderId="0" xfId="4" applyNumberFormat="1" applyFont="1" applyFill="1" applyBorder="1" applyAlignment="1" applyProtection="1">
      <alignment horizontal="left" vertical="top"/>
    </xf>
    <xf numFmtId="0" fontId="9" fillId="2" borderId="0" xfId="3" applyFont="1" applyFill="1" applyAlignment="1">
      <alignment horizontal="right" vertical="center"/>
    </xf>
    <xf numFmtId="0" fontId="3" fillId="2" borderId="0" xfId="0" applyFont="1" applyFill="1"/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3" fontId="4" fillId="2" borderId="0" xfId="1" applyNumberFormat="1" applyFont="1" applyFill="1" applyBorder="1" applyAlignment="1" applyProtection="1">
      <alignment horizontal="right" wrapText="1"/>
    </xf>
    <xf numFmtId="165" fontId="4" fillId="2" borderId="0" xfId="2" applyNumberFormat="1" applyFont="1" applyFill="1" applyBorder="1" applyAlignment="1" applyProtection="1">
      <alignment horizontal="right" wrapText="1"/>
    </xf>
    <xf numFmtId="166" fontId="4" fillId="2" borderId="0" xfId="1" applyNumberFormat="1" applyFont="1" applyFill="1" applyBorder="1" applyAlignment="1" applyProtection="1">
      <alignment horizontal="right" wrapText="1"/>
    </xf>
    <xf numFmtId="165" fontId="4" fillId="2" borderId="0" xfId="1" applyNumberFormat="1" applyFont="1" applyFill="1" applyBorder="1" applyAlignment="1" applyProtection="1">
      <alignment horizontal="right" wrapText="1"/>
    </xf>
    <xf numFmtId="0" fontId="11" fillId="4" borderId="0" xfId="0" applyFont="1" applyFill="1" applyAlignment="1">
      <alignment horizontal="left" vertical="top"/>
    </xf>
    <xf numFmtId="0" fontId="10" fillId="2" borderId="4" xfId="0" applyFont="1" applyFill="1" applyBorder="1" applyAlignment="1">
      <alignment horizontal="left" vertical="top" wrapText="1"/>
    </xf>
    <xf numFmtId="3" fontId="4" fillId="2" borderId="11" xfId="6" applyNumberFormat="1" applyFont="1" applyFill="1" applyBorder="1" applyAlignment="1" applyProtection="1">
      <alignment horizontal="right" vertical="center" wrapText="1"/>
    </xf>
    <xf numFmtId="167" fontId="4" fillId="2" borderId="0" xfId="6" applyNumberFormat="1" applyFont="1" applyFill="1" applyBorder="1" applyAlignment="1" applyProtection="1">
      <alignment horizontal="right" vertical="center" wrapText="1"/>
    </xf>
    <xf numFmtId="3" fontId="4" fillId="2" borderId="0" xfId="6" applyNumberFormat="1" applyFont="1" applyFill="1" applyBorder="1" applyAlignment="1" applyProtection="1">
      <alignment horizontal="right" vertical="center" wrapText="1"/>
    </xf>
    <xf numFmtId="171" fontId="4" fillId="2" borderId="0" xfId="6" applyNumberFormat="1" applyFont="1" applyFill="1" applyBorder="1" applyAlignment="1" applyProtection="1">
      <alignment horizontal="right" vertical="center" wrapText="1"/>
    </xf>
    <xf numFmtId="168" fontId="4" fillId="2" borderId="0" xfId="6" applyNumberFormat="1" applyFont="1" applyFill="1" applyBorder="1" applyAlignment="1" applyProtection="1">
      <alignment horizontal="right" vertical="center" wrapText="1"/>
    </xf>
    <xf numFmtId="167" fontId="4" fillId="2" borderId="10" xfId="6" applyNumberFormat="1" applyFont="1" applyFill="1" applyBorder="1" applyAlignment="1" applyProtection="1">
      <alignment horizontal="right" vertical="center" wrapText="1"/>
    </xf>
    <xf numFmtId="168" fontId="4" fillId="2" borderId="10" xfId="6" applyNumberFormat="1" applyFont="1" applyFill="1" applyBorder="1" applyAlignment="1" applyProtection="1">
      <alignment horizontal="right" vertical="center" wrapText="1"/>
    </xf>
    <xf numFmtId="3" fontId="4" fillId="2" borderId="9" xfId="6" applyNumberFormat="1" applyFont="1" applyFill="1" applyBorder="1" applyAlignment="1" applyProtection="1">
      <alignment horizontal="right" vertical="center" wrapText="1"/>
    </xf>
    <xf numFmtId="171" fontId="4" fillId="2" borderId="9" xfId="6" applyNumberFormat="1" applyFont="1" applyFill="1" applyBorder="1" applyAlignment="1" applyProtection="1">
      <alignment horizontal="right" vertical="center" wrapText="1"/>
    </xf>
    <xf numFmtId="0" fontId="7" fillId="4" borderId="0" xfId="0" applyFont="1" applyFill="1" applyAlignment="1">
      <alignment horizontal="left" vertical="top"/>
    </xf>
    <xf numFmtId="0" fontId="11" fillId="4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vertical="top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3" fontId="4" fillId="3" borderId="11" xfId="6" applyNumberFormat="1" applyFont="1" applyFill="1" applyBorder="1" applyAlignment="1" applyProtection="1">
      <alignment horizontal="right" vertical="center" wrapText="1"/>
    </xf>
    <xf numFmtId="167" fontId="4" fillId="3" borderId="10" xfId="6" applyNumberFormat="1" applyFont="1" applyFill="1" applyBorder="1" applyAlignment="1" applyProtection="1">
      <alignment horizontal="right" vertical="center" wrapText="1"/>
    </xf>
    <xf numFmtId="3" fontId="4" fillId="3" borderId="9" xfId="6" applyNumberFormat="1" applyFont="1" applyFill="1" applyBorder="1" applyAlignment="1" applyProtection="1">
      <alignment horizontal="right" vertical="center" wrapText="1"/>
    </xf>
    <xf numFmtId="167" fontId="4" fillId="3" borderId="0" xfId="6" applyNumberFormat="1" applyFont="1" applyFill="1" applyBorder="1" applyAlignment="1" applyProtection="1">
      <alignment horizontal="right" vertical="center" wrapText="1"/>
    </xf>
    <xf numFmtId="3" fontId="4" fillId="3" borderId="0" xfId="6" applyNumberFormat="1" applyFont="1" applyFill="1" applyBorder="1" applyAlignment="1" applyProtection="1">
      <alignment horizontal="right" vertical="center" wrapText="1"/>
    </xf>
    <xf numFmtId="3" fontId="4" fillId="2" borderId="11" xfId="6" applyNumberFormat="1" applyFont="1" applyFill="1" applyBorder="1" applyAlignment="1" applyProtection="1">
      <alignment horizontal="left" vertical="center" wrapText="1"/>
    </xf>
    <xf numFmtId="3" fontId="4" fillId="3" borderId="11" xfId="6" applyNumberFormat="1" applyFont="1" applyFill="1" applyBorder="1" applyAlignment="1" applyProtection="1">
      <alignment horizontal="left" vertical="center" wrapText="1"/>
    </xf>
    <xf numFmtId="0" fontId="10" fillId="0" borderId="14" xfId="0" applyFont="1" applyBorder="1" applyAlignment="1">
      <alignment vertical="center"/>
    </xf>
    <xf numFmtId="0" fontId="2" fillId="2" borderId="0" xfId="0" applyFont="1" applyFill="1"/>
    <xf numFmtId="0" fontId="2" fillId="0" borderId="0" xfId="0" applyFont="1"/>
    <xf numFmtId="0" fontId="2" fillId="8" borderId="0" xfId="0" applyFont="1" applyFill="1"/>
    <xf numFmtId="167" fontId="2" fillId="2" borderId="7" xfId="6" applyNumberFormat="1" applyFont="1" applyFill="1" applyBorder="1" applyAlignment="1" applyProtection="1">
      <alignment horizontal="right" vertical="center" wrapText="1"/>
    </xf>
    <xf numFmtId="167" fontId="2" fillId="2" borderId="5" xfId="6" applyNumberFormat="1" applyFont="1" applyFill="1" applyBorder="1" applyAlignment="1" applyProtection="1">
      <alignment horizontal="right" vertical="center" wrapText="1"/>
    </xf>
    <xf numFmtId="0" fontId="11" fillId="0" borderId="19" xfId="0" applyFont="1" applyBorder="1" applyAlignment="1">
      <alignment horizontal="left" vertical="center" wrapText="1"/>
    </xf>
    <xf numFmtId="3" fontId="2" fillId="2" borderId="11" xfId="6" applyNumberFormat="1" applyFont="1" applyFill="1" applyBorder="1" applyAlignment="1" applyProtection="1">
      <alignment horizontal="right" vertical="center" wrapText="1"/>
    </xf>
    <xf numFmtId="167" fontId="2" fillId="2" borderId="10" xfId="6" applyNumberFormat="1" applyFont="1" applyFill="1" applyBorder="1" applyAlignment="1" applyProtection="1">
      <alignment horizontal="right" vertical="center" wrapText="1"/>
    </xf>
    <xf numFmtId="3" fontId="2" fillId="2" borderId="9" xfId="6" applyNumberFormat="1" applyFont="1" applyFill="1" applyBorder="1" applyAlignment="1" applyProtection="1">
      <alignment horizontal="right" vertical="center" wrapText="1"/>
    </xf>
    <xf numFmtId="167" fontId="2" fillId="2" borderId="0" xfId="6" applyNumberFormat="1" applyFont="1" applyFill="1" applyBorder="1" applyAlignment="1" applyProtection="1">
      <alignment horizontal="right" vertical="center" wrapText="1"/>
    </xf>
    <xf numFmtId="3" fontId="2" fillId="2" borderId="0" xfId="6" applyNumberFormat="1" applyFont="1" applyFill="1" applyBorder="1" applyAlignment="1" applyProtection="1">
      <alignment horizontal="right" vertical="center" wrapText="1"/>
    </xf>
    <xf numFmtId="171" fontId="2" fillId="2" borderId="9" xfId="6" applyNumberFormat="1" applyFont="1" applyFill="1" applyBorder="1" applyAlignment="1" applyProtection="1">
      <alignment horizontal="right" vertical="center" wrapText="1"/>
    </xf>
    <xf numFmtId="168" fontId="2" fillId="2" borderId="0" xfId="6" applyNumberFormat="1" applyFont="1" applyFill="1" applyBorder="1" applyAlignment="1" applyProtection="1">
      <alignment horizontal="right" vertical="center" wrapText="1"/>
    </xf>
    <xf numFmtId="168" fontId="2" fillId="2" borderId="10" xfId="6" applyNumberFormat="1" applyFont="1" applyFill="1" applyBorder="1" applyAlignment="1" applyProtection="1">
      <alignment horizontal="righ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171" fontId="2" fillId="2" borderId="0" xfId="6" applyNumberFormat="1" applyFont="1" applyFill="1" applyBorder="1" applyAlignment="1" applyProtection="1">
      <alignment horizontal="right" vertical="center" wrapText="1"/>
    </xf>
    <xf numFmtId="3" fontId="2" fillId="2" borderId="16" xfId="6" applyNumberFormat="1" applyFont="1" applyFill="1" applyBorder="1" applyAlignment="1" applyProtection="1">
      <alignment horizontal="right" vertical="center" wrapText="1"/>
    </xf>
    <xf numFmtId="167" fontId="2" fillId="2" borderId="17" xfId="6" applyNumberFormat="1" applyFont="1" applyFill="1" applyBorder="1" applyAlignment="1" applyProtection="1">
      <alignment horizontal="right" vertical="center" wrapText="1"/>
    </xf>
    <xf numFmtId="3" fontId="2" fillId="2" borderId="18" xfId="6" applyNumberFormat="1" applyFont="1" applyFill="1" applyBorder="1" applyAlignment="1" applyProtection="1">
      <alignment horizontal="right" vertical="center" wrapText="1"/>
    </xf>
    <xf numFmtId="167" fontId="2" fillId="2" borderId="1" xfId="6" applyNumberFormat="1" applyFont="1" applyFill="1" applyBorder="1" applyAlignment="1" applyProtection="1">
      <alignment horizontal="right" vertical="center" wrapText="1"/>
    </xf>
    <xf numFmtId="3" fontId="2" fillId="2" borderId="1" xfId="6" applyNumberFormat="1" applyFont="1" applyFill="1" applyBorder="1" applyAlignment="1" applyProtection="1">
      <alignment horizontal="right" vertical="center" wrapText="1"/>
    </xf>
    <xf numFmtId="171" fontId="2" fillId="2" borderId="18" xfId="6" applyNumberFormat="1" applyFont="1" applyFill="1" applyBorder="1" applyAlignment="1" applyProtection="1">
      <alignment horizontal="right" vertical="center" wrapText="1"/>
    </xf>
    <xf numFmtId="168" fontId="2" fillId="2" borderId="1" xfId="6" applyNumberFormat="1" applyFont="1" applyFill="1" applyBorder="1" applyAlignment="1" applyProtection="1">
      <alignment horizontal="right" vertical="center" wrapText="1"/>
    </xf>
    <xf numFmtId="168" fontId="2" fillId="2" borderId="17" xfId="6" applyNumberFormat="1" applyFont="1" applyFill="1" applyBorder="1" applyAlignment="1" applyProtection="1">
      <alignment horizontal="right" vertical="center" wrapText="1"/>
    </xf>
    <xf numFmtId="167" fontId="4" fillId="2" borderId="23" xfId="6" applyNumberFormat="1" applyFont="1" applyFill="1" applyBorder="1" applyAlignment="1" applyProtection="1">
      <alignment horizontal="right" vertical="center" wrapText="1"/>
    </xf>
    <xf numFmtId="167" fontId="4" fillId="3" borderId="23" xfId="6" applyNumberFormat="1" applyFont="1" applyFill="1" applyBorder="1" applyAlignment="1" applyProtection="1">
      <alignment horizontal="right" vertical="center" wrapText="1"/>
    </xf>
    <xf numFmtId="3" fontId="4" fillId="2" borderId="24" xfId="6" applyNumberFormat="1" applyFont="1" applyFill="1" applyBorder="1" applyAlignment="1" applyProtection="1">
      <alignment horizontal="left" vertical="center" wrapText="1"/>
    </xf>
    <xf numFmtId="3" fontId="4" fillId="2" borderId="24" xfId="6" applyNumberFormat="1" applyFont="1" applyFill="1" applyBorder="1" applyAlignment="1" applyProtection="1">
      <alignment horizontal="right" vertical="center" wrapText="1"/>
    </xf>
    <xf numFmtId="167" fontId="4" fillId="2" borderId="25" xfId="6" applyNumberFormat="1" applyFont="1" applyFill="1" applyBorder="1" applyAlignment="1" applyProtection="1">
      <alignment horizontal="right" vertical="center" wrapText="1"/>
    </xf>
    <xf numFmtId="3" fontId="4" fillId="2" borderId="26" xfId="6" applyNumberFormat="1" applyFont="1" applyFill="1" applyBorder="1" applyAlignment="1" applyProtection="1">
      <alignment horizontal="right" vertical="center" wrapText="1"/>
    </xf>
    <xf numFmtId="167" fontId="4" fillId="2" borderId="2" xfId="6" applyNumberFormat="1" applyFont="1" applyFill="1" applyBorder="1" applyAlignment="1" applyProtection="1">
      <alignment horizontal="right" vertical="center" wrapText="1"/>
    </xf>
    <xf numFmtId="3" fontId="4" fillId="2" borderId="2" xfId="6" applyNumberFormat="1" applyFont="1" applyFill="1" applyBorder="1" applyAlignment="1" applyProtection="1">
      <alignment horizontal="right" vertical="center" wrapText="1"/>
    </xf>
    <xf numFmtId="171" fontId="4" fillId="2" borderId="26" xfId="6" applyNumberFormat="1" applyFont="1" applyFill="1" applyBorder="1" applyAlignment="1" applyProtection="1">
      <alignment horizontal="right" vertical="center" wrapText="1"/>
    </xf>
    <xf numFmtId="168" fontId="4" fillId="2" borderId="2" xfId="6" applyNumberFormat="1" applyFont="1" applyFill="1" applyBorder="1" applyAlignment="1" applyProtection="1">
      <alignment horizontal="right" vertical="center" wrapText="1"/>
    </xf>
    <xf numFmtId="168" fontId="4" fillId="2" borderId="25" xfId="6" applyNumberFormat="1" applyFont="1" applyFill="1" applyBorder="1" applyAlignment="1" applyProtection="1">
      <alignment horizontal="right" vertical="center" wrapText="1"/>
    </xf>
    <xf numFmtId="167" fontId="4" fillId="2" borderId="27" xfId="6" applyNumberFormat="1" applyFont="1" applyFill="1" applyBorder="1" applyAlignment="1" applyProtection="1">
      <alignment horizontal="right" vertical="center" wrapText="1"/>
    </xf>
    <xf numFmtId="0" fontId="0" fillId="2" borderId="3" xfId="0" applyFill="1" applyBorder="1"/>
    <xf numFmtId="0" fontId="10" fillId="0" borderId="22" xfId="0" applyFont="1" applyBorder="1" applyAlignment="1">
      <alignment vertical="center"/>
    </xf>
    <xf numFmtId="0" fontId="3" fillId="2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167" fontId="2" fillId="2" borderId="21" xfId="6" applyNumberFormat="1" applyFont="1" applyFill="1" applyBorder="1" applyAlignment="1" applyProtection="1">
      <alignment horizontal="right" vertical="center" wrapText="1"/>
    </xf>
    <xf numFmtId="167" fontId="2" fillId="2" borderId="23" xfId="6" applyNumberFormat="1" applyFont="1" applyFill="1" applyBorder="1" applyAlignment="1" applyProtection="1">
      <alignment horizontal="right" vertical="center" wrapText="1"/>
    </xf>
    <xf numFmtId="168" fontId="2" fillId="2" borderId="23" xfId="6" applyNumberFormat="1" applyFont="1" applyFill="1" applyBorder="1" applyAlignment="1" applyProtection="1">
      <alignment horizontal="right" vertical="center" wrapText="1"/>
    </xf>
    <xf numFmtId="3" fontId="2" fillId="2" borderId="24" xfId="6" applyNumberFormat="1" applyFont="1" applyFill="1" applyBorder="1" applyAlignment="1" applyProtection="1">
      <alignment horizontal="right" vertical="center" wrapText="1"/>
    </xf>
    <xf numFmtId="167" fontId="2" fillId="2" borderId="25" xfId="6" applyNumberFormat="1" applyFont="1" applyFill="1" applyBorder="1" applyAlignment="1" applyProtection="1">
      <alignment horizontal="right" vertical="center" wrapText="1"/>
    </xf>
    <xf numFmtId="3" fontId="2" fillId="2" borderId="26" xfId="6" applyNumberFormat="1" applyFont="1" applyFill="1" applyBorder="1" applyAlignment="1" applyProtection="1">
      <alignment horizontal="right" vertical="center" wrapText="1"/>
    </xf>
    <xf numFmtId="167" fontId="2" fillId="2" borderId="2" xfId="6" applyNumberFormat="1" applyFont="1" applyFill="1" applyBorder="1" applyAlignment="1" applyProtection="1">
      <alignment horizontal="right" vertical="center" wrapText="1"/>
    </xf>
    <xf numFmtId="3" fontId="2" fillId="2" borderId="2" xfId="6" applyNumberFormat="1" applyFont="1" applyFill="1" applyBorder="1" applyAlignment="1" applyProtection="1">
      <alignment horizontal="right" vertical="center" wrapText="1"/>
    </xf>
    <xf numFmtId="171" fontId="2" fillId="2" borderId="26" xfId="6" applyNumberFormat="1" applyFont="1" applyFill="1" applyBorder="1" applyAlignment="1" applyProtection="1">
      <alignment horizontal="right" vertical="center" wrapText="1"/>
    </xf>
    <xf numFmtId="168" fontId="2" fillId="2" borderId="2" xfId="6" applyNumberFormat="1" applyFont="1" applyFill="1" applyBorder="1" applyAlignment="1" applyProtection="1">
      <alignment horizontal="right" vertical="center" wrapText="1"/>
    </xf>
    <xf numFmtId="168" fontId="2" fillId="2" borderId="25" xfId="6" applyNumberFormat="1" applyFont="1" applyFill="1" applyBorder="1" applyAlignment="1" applyProtection="1">
      <alignment horizontal="right" vertical="center" wrapText="1"/>
    </xf>
    <xf numFmtId="167" fontId="2" fillId="2" borderId="27" xfId="6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vertical="top" wrapText="1"/>
    </xf>
    <xf numFmtId="3" fontId="2" fillId="2" borderId="6" xfId="6" applyNumberFormat="1" applyFont="1" applyFill="1" applyBorder="1" applyAlignment="1" applyProtection="1">
      <alignment horizontal="right" vertical="center" wrapText="1"/>
    </xf>
    <xf numFmtId="3" fontId="2" fillId="2" borderId="8" xfId="6" applyNumberFormat="1" applyFont="1" applyFill="1" applyBorder="1" applyAlignment="1" applyProtection="1">
      <alignment horizontal="right" vertical="center" wrapText="1"/>
    </xf>
    <xf numFmtId="3" fontId="2" fillId="2" borderId="5" xfId="6" applyNumberFormat="1" applyFont="1" applyFill="1" applyBorder="1" applyAlignment="1" applyProtection="1">
      <alignment horizontal="right" vertical="center" wrapText="1"/>
    </xf>
    <xf numFmtId="171" fontId="2" fillId="2" borderId="8" xfId="6" applyNumberFormat="1" applyFont="1" applyFill="1" applyBorder="1" applyAlignment="1" applyProtection="1">
      <alignment horizontal="right" vertical="center" wrapText="1"/>
    </xf>
    <xf numFmtId="168" fontId="2" fillId="2" borderId="5" xfId="6" applyNumberFormat="1" applyFont="1" applyFill="1" applyBorder="1" applyAlignment="1" applyProtection="1">
      <alignment horizontal="right" vertical="center" wrapText="1"/>
    </xf>
    <xf numFmtId="168" fontId="2" fillId="2" borderId="7" xfId="6" applyNumberFormat="1" applyFont="1" applyFill="1" applyBorder="1" applyAlignment="1" applyProtection="1">
      <alignment horizontal="right" vertical="center" wrapText="1"/>
    </xf>
    <xf numFmtId="167" fontId="2" fillId="2" borderId="29" xfId="6" applyNumberFormat="1" applyFont="1" applyFill="1" applyBorder="1" applyAlignment="1" applyProtection="1">
      <alignment horizontal="right" vertical="center" wrapText="1"/>
    </xf>
    <xf numFmtId="171" fontId="2" fillId="2" borderId="16" xfId="6" applyNumberFormat="1" applyFont="1" applyFill="1" applyBorder="1" applyAlignment="1" applyProtection="1">
      <alignment horizontal="right" vertical="center" wrapText="1"/>
    </xf>
    <xf numFmtId="168" fontId="2" fillId="2" borderId="29" xfId="6" applyNumberFormat="1" applyFont="1" applyFill="1" applyBorder="1" applyAlignment="1" applyProtection="1">
      <alignment horizontal="right" vertical="center" wrapText="1"/>
    </xf>
    <xf numFmtId="171" fontId="2" fillId="2" borderId="1" xfId="6" applyNumberFormat="1" applyFont="1" applyFill="1" applyBorder="1" applyAlignment="1" applyProtection="1">
      <alignment horizontal="right" vertical="center" wrapText="1"/>
    </xf>
    <xf numFmtId="171" fontId="2" fillId="2" borderId="5" xfId="6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70" fontId="12" fillId="2" borderId="6" xfId="6" applyNumberFormat="1" applyFont="1" applyFill="1" applyBorder="1" applyAlignment="1" applyProtection="1">
      <alignment horizontal="right" vertical="center" wrapText="1"/>
    </xf>
    <xf numFmtId="167" fontId="12" fillId="2" borderId="7" xfId="6" applyNumberFormat="1" applyFont="1" applyFill="1" applyBorder="1" applyAlignment="1" applyProtection="1">
      <alignment horizontal="right" vertical="center" wrapText="1"/>
    </xf>
    <xf numFmtId="170" fontId="12" fillId="2" borderId="8" xfId="6" applyNumberFormat="1" applyFont="1" applyFill="1" applyBorder="1" applyAlignment="1" applyProtection="1">
      <alignment horizontal="right" vertical="center" wrapText="1"/>
    </xf>
    <xf numFmtId="167" fontId="12" fillId="2" borderId="5" xfId="6" applyNumberFormat="1" applyFont="1" applyFill="1" applyBorder="1" applyAlignment="1" applyProtection="1">
      <alignment horizontal="right" vertical="center" wrapText="1"/>
    </xf>
    <xf numFmtId="170" fontId="12" fillId="2" borderId="5" xfId="6" applyNumberFormat="1" applyFont="1" applyFill="1" applyBorder="1" applyAlignment="1" applyProtection="1">
      <alignment horizontal="right" vertical="center" wrapText="1"/>
    </xf>
    <xf numFmtId="167" fontId="12" fillId="2" borderId="21" xfId="6" applyNumberFormat="1" applyFont="1" applyFill="1" applyBorder="1" applyAlignment="1" applyProtection="1">
      <alignment horizontal="right" vertical="center" wrapText="1"/>
    </xf>
    <xf numFmtId="0" fontId="12" fillId="5" borderId="0" xfId="0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2" fillId="6" borderId="0" xfId="0" applyFont="1" applyFill="1" applyBorder="1" applyAlignment="1">
      <alignment horizontal="left" vertical="top"/>
    </xf>
    <xf numFmtId="0" fontId="4" fillId="6" borderId="0" xfId="0" applyFont="1" applyFill="1" applyBorder="1" applyAlignment="1" applyProtection="1">
      <alignment horizontal="left" vertical="top"/>
      <protection locked="0"/>
    </xf>
    <xf numFmtId="0" fontId="4" fillId="6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0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2" borderId="0" xfId="3" applyFont="1" applyFill="1" applyBorder="1" applyAlignment="1">
      <alignment horizontal="left" vertical="top"/>
    </xf>
    <xf numFmtId="170" fontId="2" fillId="2" borderId="16" xfId="6" applyNumberFormat="1" applyFont="1" applyFill="1" applyBorder="1" applyAlignment="1" applyProtection="1">
      <alignment horizontal="right" vertical="center" wrapText="1"/>
    </xf>
    <xf numFmtId="170" fontId="2" fillId="2" borderId="18" xfId="6" applyNumberFormat="1" applyFont="1" applyFill="1" applyBorder="1" applyAlignment="1" applyProtection="1">
      <alignment horizontal="right" vertical="center" wrapText="1"/>
    </xf>
    <xf numFmtId="170" fontId="2" fillId="2" borderId="1" xfId="6" applyNumberFormat="1" applyFont="1" applyFill="1" applyBorder="1" applyAlignment="1" applyProtection="1">
      <alignment horizontal="right" vertical="center" wrapText="1"/>
    </xf>
    <xf numFmtId="0" fontId="11" fillId="2" borderId="30" xfId="1" applyNumberFormat="1" applyFont="1" applyFill="1" applyBorder="1" applyAlignment="1" applyProtection="1">
      <alignment horizontal="right" vertical="top" wrapText="1"/>
    </xf>
    <xf numFmtId="0" fontId="11" fillId="2" borderId="40" xfId="2" applyNumberFormat="1" applyFont="1" applyFill="1" applyBorder="1" applyAlignment="1" applyProtection="1">
      <alignment horizontal="right" vertical="top" wrapText="1"/>
    </xf>
    <xf numFmtId="0" fontId="11" fillId="2" borderId="40" xfId="1" applyNumberFormat="1" applyFont="1" applyFill="1" applyBorder="1" applyAlignment="1" applyProtection="1">
      <alignment horizontal="right" vertical="top" wrapText="1"/>
    </xf>
    <xf numFmtId="0" fontId="11" fillId="2" borderId="41" xfId="2" applyNumberFormat="1" applyFont="1" applyFill="1" applyBorder="1" applyAlignment="1" applyProtection="1">
      <alignment horizontal="right" vertical="top" wrapText="1"/>
    </xf>
    <xf numFmtId="0" fontId="11" fillId="2" borderId="45" xfId="1" applyNumberFormat="1" applyFont="1" applyFill="1" applyBorder="1" applyAlignment="1" applyProtection="1">
      <alignment horizontal="right" vertical="top" wrapText="1"/>
    </xf>
    <xf numFmtId="0" fontId="11" fillId="2" borderId="46" xfId="2" applyNumberFormat="1" applyFont="1" applyFill="1" applyBorder="1" applyAlignment="1" applyProtection="1">
      <alignment horizontal="right" vertical="top" wrapText="1"/>
    </xf>
    <xf numFmtId="0" fontId="11" fillId="2" borderId="46" xfId="1" applyNumberFormat="1" applyFont="1" applyFill="1" applyBorder="1" applyAlignment="1" applyProtection="1">
      <alignment horizontal="right" vertical="top" wrapText="1"/>
    </xf>
    <xf numFmtId="0" fontId="11" fillId="2" borderId="47" xfId="2" applyNumberFormat="1" applyFont="1" applyFill="1" applyBorder="1" applyAlignment="1" applyProtection="1">
      <alignment horizontal="righ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10" fillId="3" borderId="4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11" fillId="0" borderId="3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7" fillId="3" borderId="37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10" fillId="0" borderId="28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1" fillId="0" borderId="32" xfId="0" applyFont="1" applyBorder="1" applyAlignment="1">
      <alignment vertical="top"/>
    </xf>
    <xf numFmtId="0" fontId="11" fillId="0" borderId="12" xfId="0" applyFont="1" applyBorder="1" applyAlignment="1">
      <alignment vertical="top"/>
    </xf>
  </cellXfs>
  <cellStyles count="14">
    <cellStyle name="Komma" xfId="1" builtinId="3"/>
    <cellStyle name="Komma 2" xfId="4"/>
    <cellStyle name="Komma 3" xfId="6"/>
    <cellStyle name="Normale 2" xfId="13"/>
    <cellStyle name="Prozent" xfId="2" builtinId="5"/>
    <cellStyle name="Prozent 2" xfId="5"/>
    <cellStyle name="Standard" xfId="0" builtinId="0"/>
    <cellStyle name="Standard 2" xfId="3"/>
    <cellStyle name="Standard 2 2" xfId="10"/>
    <cellStyle name="Standard 2 3" xfId="7"/>
    <cellStyle name="Standard 3" xfId="8"/>
    <cellStyle name="Standard 4" xfId="9"/>
    <cellStyle name="Standard 4 2" xfId="11"/>
    <cellStyle name="Standard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565149</xdr:colOff>
      <xdr:row>0</xdr:row>
      <xdr:rowOff>22224</xdr:rowOff>
    </xdr:from>
    <xdr:to>
      <xdr:col>5</xdr:col>
      <xdr:colOff>750549</xdr:colOff>
      <xdr:row>5</xdr:row>
      <xdr:rowOff>14174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194299" y="22224"/>
          <a:ext cx="2700000" cy="900000"/>
          <a:chOff x="6010275" y="144910"/>
          <a:chExt cx="2047875" cy="819150"/>
        </a:xfrm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010275" y="144910"/>
            <a:ext cx="2047875" cy="819150"/>
          </a:xfrm>
          <a:prstGeom prst="rect">
            <a:avLst/>
          </a:prstGeom>
          <a:solidFill>
            <a:srgbClr val="00B0F0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5" name="Gruppieren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pSpPr/>
            </xdr:nvGrpSpPr>
            <xdr:grpSpPr>
              <a:xfrm>
                <a:off x="6553200" y="374273"/>
                <a:ext cx="1200152" cy="533405"/>
                <a:chOff x="6553200" y="374273"/>
                <a:chExt cx="1200152" cy="533405"/>
              </a:xfrm>
            </xdr:grpSpPr>
            <xdr:sp macro="" textlink="">
              <xdr:nvSpPr>
                <xdr:cNvPr id="1025" name="Option Button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00000000-0008-0000-0000-000001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1026" name="Option Button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00000000-0008-0000-0000-000002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52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1027" name="Option Button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0000000-0008-0000-0000-000003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549275</xdr:colOff>
      <xdr:row>5</xdr:row>
      <xdr:rowOff>4202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28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3178175</xdr:colOff>
      <xdr:row>4</xdr:row>
      <xdr:rowOff>147077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09077"/>
        </a:xfrm>
        <a:prstGeom prst="rect">
          <a:avLst/>
        </a:prstGeom>
      </xdr:spPr>
    </xdr:pic>
    <xdr:clientData/>
  </xdr:twoCellAnchor>
  <xdr:twoCellAnchor>
    <xdr:from>
      <xdr:col>1</xdr:col>
      <xdr:colOff>3200399</xdr:colOff>
      <xdr:row>0</xdr:row>
      <xdr:rowOff>19050</xdr:rowOff>
    </xdr:from>
    <xdr:to>
      <xdr:col>4</xdr:col>
      <xdr:colOff>788649</xdr:colOff>
      <xdr:row>5</xdr:row>
      <xdr:rowOff>11000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5073649" y="19050"/>
          <a:ext cx="2700000" cy="900000"/>
          <a:chOff x="6010275" y="133350"/>
          <a:chExt cx="1919883" cy="819150"/>
        </a:xfrm>
      </xdr:grpSpPr>
      <xdr:sp macro="" textlink="">
        <xdr:nvSpPr>
          <xdr:cNvPr id="11" name="Rechteck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6010275" y="133350"/>
            <a:ext cx="1919883" cy="819150"/>
          </a:xfrm>
          <a:prstGeom prst="rect">
            <a:avLst/>
          </a:prstGeom>
          <a:solidFill>
            <a:srgbClr val="00B0F0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2" name="Gruppieren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GrpSpPr/>
            </xdr:nvGrpSpPr>
            <xdr:grpSpPr>
              <a:xfrm>
                <a:off x="6553200" y="374273"/>
                <a:ext cx="1200152" cy="533405"/>
                <a:chOff x="6553200" y="374273"/>
                <a:chExt cx="1200152" cy="533405"/>
              </a:xfrm>
            </xdr:grpSpPr>
            <xdr:sp macro="" textlink="">
              <xdr:nvSpPr>
                <xdr:cNvPr id="3079" name="Option Button 7" hidden="1">
                  <a:extLst>
                    <a:ext uri="{63B3BB69-23CF-44E3-9099-C40C66FF867C}">
                      <a14:compatExt spid="_x0000_s3079"/>
                    </a:ext>
                    <a:ext uri="{FF2B5EF4-FFF2-40B4-BE49-F238E27FC236}">
                      <a16:creationId xmlns:a16="http://schemas.microsoft.com/office/drawing/2014/main" id="{00000000-0008-0000-0100-0000070C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3080" name="Option Button 8" hidden="1">
                  <a:extLst>
                    <a:ext uri="{63B3BB69-23CF-44E3-9099-C40C66FF867C}">
                      <a14:compatExt spid="_x0000_s3080"/>
                    </a:ext>
                    <a:ext uri="{FF2B5EF4-FFF2-40B4-BE49-F238E27FC236}">
                      <a16:creationId xmlns:a16="http://schemas.microsoft.com/office/drawing/2014/main" id="{00000000-0008-0000-0100-0000080C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52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3081" name="Option Button 9" hidden="1">
                  <a:extLst>
                    <a:ext uri="{63B3BB69-23CF-44E3-9099-C40C66FF867C}">
                      <a14:compatExt spid="_x0000_s3081"/>
                    </a:ext>
                    <a:ext uri="{FF2B5EF4-FFF2-40B4-BE49-F238E27FC236}">
                      <a16:creationId xmlns:a16="http://schemas.microsoft.com/office/drawing/2014/main" id="{00000000-0008-0000-0100-0000090C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tabSelected="1" workbookViewId="0"/>
  </sheetViews>
  <sheetFormatPr baseColWidth="10" defaultColWidth="11.453125" defaultRowHeight="12.5" x14ac:dyDescent="0.25"/>
  <cols>
    <col min="1" max="1" width="19.81640625" style="1" customWidth="1"/>
    <col min="2" max="2" width="46.453125" style="1" customWidth="1"/>
    <col min="3" max="22" width="12" style="1" customWidth="1"/>
    <col min="23" max="16384" width="11.453125" style="1"/>
  </cols>
  <sheetData>
    <row r="1" spans="1:22" s="2" customFormat="1" x14ac:dyDescent="0.25"/>
    <row r="2" spans="1:22" s="2" customFormat="1" ht="15.5" x14ac:dyDescent="0.35">
      <c r="B2" s="3"/>
      <c r="C2" s="1"/>
      <c r="D2" s="1"/>
    </row>
    <row r="3" spans="1:22" s="2" customFormat="1" ht="15.5" x14ac:dyDescent="0.35">
      <c r="B3" s="3"/>
      <c r="C3" s="1"/>
      <c r="D3" s="1"/>
    </row>
    <row r="4" spans="1:22" s="2" customFormat="1" ht="15.5" x14ac:dyDescent="0.35">
      <c r="B4" s="3"/>
      <c r="C4" s="1"/>
      <c r="D4" s="1"/>
    </row>
    <row r="5" spans="1:22" s="2" customFormat="1" x14ac:dyDescent="0.25"/>
    <row r="6" spans="1:22" s="2" customFormat="1" x14ac:dyDescent="0.25"/>
    <row r="7" spans="1:22" s="2" customFormat="1" ht="15.75" customHeight="1" x14ac:dyDescent="0.35">
      <c r="A7" s="145" t="str">
        <f>VLOOKUP("&lt;Fachbereich&gt;",Uebersetzungen!$B$3:$E$201,Uebersetzungen!$B$2+1,FALSE)</f>
        <v>Daten &amp; Statistik</v>
      </c>
      <c r="B7" s="145"/>
      <c r="C7" s="4"/>
      <c r="D7" s="4"/>
      <c r="E7" s="4"/>
      <c r="F7" s="4"/>
      <c r="G7" s="4"/>
      <c r="H7" s="4"/>
    </row>
    <row r="8" spans="1:22" s="2" customFormat="1" x14ac:dyDescent="0.25"/>
    <row r="9" spans="1:22" s="8" customFormat="1" ht="17.5" x14ac:dyDescent="0.3">
      <c r="A9" s="26" t="str">
        <f>VLOOKUP("&lt;Titel&gt;",Uebersetzungen!$B$3:$E$201,Uebersetzungen!$B$2+1,FALSE)</f>
        <v>Erwerbsstatus nach Kanton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22" s="8" customFormat="1" ht="14" x14ac:dyDescent="0.3">
      <c r="A10" s="27" t="str">
        <f>VLOOKUP("&lt;UTitel&gt;",Uebersetzungen!$B$3:$E$201,Uebersetzungen!$B$2+1,FALSE)</f>
        <v>Ständige schweizerische Wohnbevölkerung ab 15 Jahren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22" s="8" customFormat="1" ht="14.5" thickBot="1" x14ac:dyDescent="0.35">
      <c r="A11" s="27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22" ht="18" thickBot="1" x14ac:dyDescent="0.4">
      <c r="B12" s="76"/>
      <c r="C12" s="147">
        <v>2022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9"/>
    </row>
    <row r="13" spans="1:22" ht="39" customHeight="1" thickBot="1" x14ac:dyDescent="0.3">
      <c r="A13" s="10"/>
      <c r="B13" s="127"/>
      <c r="C13" s="146" t="str">
        <f>VLOOKUP("&lt;SpaltenTitel_1&gt;",Uebersetzungen!$B$3:$E$201,Uebersetzungen!$B$2+1,FALSE)</f>
        <v>Total</v>
      </c>
      <c r="D13" s="143"/>
      <c r="E13" s="143" t="str">
        <f>VLOOKUP("&lt;SpaltenTitel_2&gt;",Uebersetzungen!$B$3:$E$201,Uebersetzungen!$B$2+1,FALSE)</f>
        <v>Erwerbspersonen</v>
      </c>
      <c r="F13" s="143"/>
      <c r="G13" s="143" t="str">
        <f>VLOOKUP("&lt;SpaltenTitel_3&gt;",Uebersetzungen!$B$3:$E$201,Uebersetzungen!$B$2+1,FALSE)</f>
        <v>Erwerbstätige</v>
      </c>
      <c r="H13" s="143"/>
      <c r="I13" s="143" t="str">
        <f>VLOOKUP("&lt;SpaltenTitel_4&gt;",Uebersetzungen!$B$3:$E$201,Uebersetzungen!$B$2+1,FALSE)</f>
        <v>Selbständige</v>
      </c>
      <c r="J13" s="143"/>
      <c r="K13" s="143" t="str">
        <f>VLOOKUP("&lt;SpaltenTitel_5&gt;",Uebersetzungen!$B$3:$E$201,Uebersetzungen!$B$2+1,FALSE)</f>
        <v>Mitarbeitende Familienmitglieder</v>
      </c>
      <c r="L13" s="143"/>
      <c r="M13" s="143" t="str">
        <f>VLOOKUP("&lt;SpaltenTitel_6&gt;",Uebersetzungen!$B$3:$E$201,Uebersetzungen!$B$2+1,FALSE)</f>
        <v>Firmeneigentümer/-innen (AG oder GmbH)</v>
      </c>
      <c r="N13" s="143"/>
      <c r="O13" s="143" t="str">
        <f>VLOOKUP("&lt;SpaltenTitel_7&gt;",Uebersetzungen!$B$3:$E$201,Uebersetzungen!$B$2+1,FALSE)</f>
        <v>Angestellte</v>
      </c>
      <c r="P13" s="143"/>
      <c r="Q13" s="143" t="str">
        <f>VLOOKUP("&lt;SpaltenTitel_8&gt;",Uebersetzungen!$B$3:$E$201,Uebersetzungen!$B$2+1,FALSE)</f>
        <v>Lernende in der dualen beruflichen Grundbildung</v>
      </c>
      <c r="R13" s="143"/>
      <c r="S13" s="143" t="str">
        <f>VLOOKUP("&lt;SpaltenTitel_9&gt;",Uebersetzungen!$B$3:$E$201,Uebersetzungen!$B$2+1,FALSE)</f>
        <v>Erwerbslose</v>
      </c>
      <c r="T13" s="143"/>
      <c r="U13" s="143" t="str">
        <f>VLOOKUP("&lt;SpaltenTitel_10&gt;",Uebersetzungen!$B$3:$E$201,Uebersetzungen!$B$2+1,FALSE)</f>
        <v>Nichterwerbspersonen</v>
      </c>
      <c r="V13" s="144"/>
    </row>
    <row r="14" spans="1:22" ht="39.75" customHeight="1" thickBot="1" x14ac:dyDescent="0.3">
      <c r="A14" s="28"/>
      <c r="B14" s="28"/>
      <c r="C14" s="133" t="str">
        <f>VLOOKUP("&lt;SpaltenTitel_1.1&gt;",Uebersetzungen!$B$3:$E$201,Uebersetzungen!$B$2+1,FALSE)</f>
        <v>Anzahl Personen</v>
      </c>
      <c r="D14" s="134" t="str">
        <f>VLOOKUP("&lt;SpaltenTitel_1.2&gt;",Uebersetzungen!$B$3:$E$201,Uebersetzungen!$B$2+1,FALSE)</f>
        <v>Vertrauens- intervall:          ± (in %)</v>
      </c>
      <c r="E14" s="135" t="str">
        <f>VLOOKUP("&lt;SpaltenTitel_1.1&gt;",Uebersetzungen!$B$3:$E$201,Uebersetzungen!$B$2+1,FALSE)</f>
        <v>Anzahl Personen</v>
      </c>
      <c r="F14" s="134" t="str">
        <f>VLOOKUP("&lt;SpaltenTitel_1.2&gt;",Uebersetzungen!$B$3:$E$201,Uebersetzungen!$B$2+1,FALSE)</f>
        <v>Vertrauens- intervall:          ± (in %)</v>
      </c>
      <c r="G14" s="135" t="str">
        <f>VLOOKUP("&lt;SpaltenTitel_1.1&gt;",Uebersetzungen!$B$3:$E$201,Uebersetzungen!$B$2+1,FALSE)</f>
        <v>Anzahl Personen</v>
      </c>
      <c r="H14" s="134" t="str">
        <f>VLOOKUP("&lt;SpaltenTitel_1.2&gt;",Uebersetzungen!$B$3:$E$201,Uebersetzungen!$B$2+1,FALSE)</f>
        <v>Vertrauens- intervall:          ± (in %)</v>
      </c>
      <c r="I14" s="135" t="str">
        <f>VLOOKUP("&lt;SpaltenTitel_1.1&gt;",Uebersetzungen!$B$3:$E$201,Uebersetzungen!$B$2+1,FALSE)</f>
        <v>Anzahl Personen</v>
      </c>
      <c r="J14" s="134" t="str">
        <f>VLOOKUP("&lt;SpaltenTitel_1.2&gt;",Uebersetzungen!$B$3:$E$201,Uebersetzungen!$B$2+1,FALSE)</f>
        <v>Vertrauens- intervall:          ± (in %)</v>
      </c>
      <c r="K14" s="135" t="str">
        <f>VLOOKUP("&lt;SpaltenTitel_1.1&gt;",Uebersetzungen!$B$3:$E$201,Uebersetzungen!$B$2+1,FALSE)</f>
        <v>Anzahl Personen</v>
      </c>
      <c r="L14" s="134" t="str">
        <f>VLOOKUP("&lt;SpaltenTitel_1.2&gt;",Uebersetzungen!$B$3:$E$201,Uebersetzungen!$B$2+1,FALSE)</f>
        <v>Vertrauens- intervall:          ± (in %)</v>
      </c>
      <c r="M14" s="135" t="str">
        <f>VLOOKUP("&lt;SpaltenTitel_1.1&gt;",Uebersetzungen!$B$3:$E$201,Uebersetzungen!$B$2+1,FALSE)</f>
        <v>Anzahl Personen</v>
      </c>
      <c r="N14" s="134" t="str">
        <f>VLOOKUP("&lt;SpaltenTitel_1.2&gt;",Uebersetzungen!$B$3:$E$201,Uebersetzungen!$B$2+1,FALSE)</f>
        <v>Vertrauens- intervall:          ± (in %)</v>
      </c>
      <c r="O14" s="135" t="str">
        <f>VLOOKUP("&lt;SpaltenTitel_1.1&gt;",Uebersetzungen!$B$3:$E$201,Uebersetzungen!$B$2+1,FALSE)</f>
        <v>Anzahl Personen</v>
      </c>
      <c r="P14" s="134" t="str">
        <f>VLOOKUP("&lt;SpaltenTitel_1.2&gt;",Uebersetzungen!$B$3:$E$201,Uebersetzungen!$B$2+1,FALSE)</f>
        <v>Vertrauens- intervall:          ± (in %)</v>
      </c>
      <c r="Q14" s="135" t="str">
        <f>VLOOKUP("&lt;SpaltenTitel_1.1&gt;",Uebersetzungen!$B$3:$E$201,Uebersetzungen!$B$2+1,FALSE)</f>
        <v>Anzahl Personen</v>
      </c>
      <c r="R14" s="134" t="str">
        <f>VLOOKUP("&lt;SpaltenTitel_1.2&gt;",Uebersetzungen!$B$3:$E$201,Uebersetzungen!$B$2+1,FALSE)</f>
        <v>Vertrauens- intervall:          ± (in %)</v>
      </c>
      <c r="S14" s="135" t="str">
        <f>VLOOKUP("&lt;SpaltenTitel_1.1&gt;",Uebersetzungen!$B$3:$E$201,Uebersetzungen!$B$2+1,FALSE)</f>
        <v>Anzahl Personen</v>
      </c>
      <c r="T14" s="134" t="str">
        <f>VLOOKUP("&lt;SpaltenTitel_1.2&gt;",Uebersetzungen!$B$3:$E$201,Uebersetzungen!$B$2+1,FALSE)</f>
        <v>Vertrauens- intervall:          ± (in %)</v>
      </c>
      <c r="U14" s="135" t="str">
        <f>VLOOKUP("&lt;SpaltenTitel_1.1&gt;",Uebersetzungen!$B$3:$E$201,Uebersetzungen!$B$2+1,FALSE)</f>
        <v>Anzahl Personen</v>
      </c>
      <c r="V14" s="136" t="str">
        <f>VLOOKUP("&lt;SpaltenTitel_1.2&gt;",Uebersetzungen!$B$3:$E$201,Uebersetzungen!$B$2+1,FALSE)</f>
        <v>Vertrauens- intervall:          ± (in %)</v>
      </c>
    </row>
    <row r="15" spans="1:22" ht="12" customHeight="1" x14ac:dyDescent="0.25">
      <c r="A15" s="77" t="str">
        <f>VLOOKUP("&lt;Zeilentitel_1&gt;",Uebersetzungen!$B$3:$E$200,Uebersetzungen!$B$2+1,FALSE)</f>
        <v>Total</v>
      </c>
      <c r="B15" s="38"/>
      <c r="C15" s="107">
        <v>7307819.000000054</v>
      </c>
      <c r="D15" s="108">
        <v>5.3159065886884835E-2</v>
      </c>
      <c r="E15" s="109">
        <v>4686630.4011998577</v>
      </c>
      <c r="F15" s="110">
        <v>0.29536999745590725</v>
      </c>
      <c r="G15" s="109">
        <v>4490177.9227942079</v>
      </c>
      <c r="H15" s="108">
        <v>0.30996787899106748</v>
      </c>
      <c r="I15" s="111">
        <v>302316.08348495915</v>
      </c>
      <c r="J15" s="108">
        <v>1.8343875673718542</v>
      </c>
      <c r="K15" s="109">
        <v>161761.36421208928</v>
      </c>
      <c r="L15" s="110">
        <v>2.6768042261227234</v>
      </c>
      <c r="M15" s="109">
        <v>268329.80158779101</v>
      </c>
      <c r="N15" s="108">
        <v>1.969957969897902</v>
      </c>
      <c r="O15" s="111">
        <v>3643296.7512921486</v>
      </c>
      <c r="P15" s="108">
        <v>0.38955187392014146</v>
      </c>
      <c r="Q15" s="109">
        <v>114473.92221722106</v>
      </c>
      <c r="R15" s="110">
        <v>3.1865044281333414</v>
      </c>
      <c r="S15" s="109">
        <v>196452.47840564835</v>
      </c>
      <c r="T15" s="108">
        <v>2.3615390350034087</v>
      </c>
      <c r="U15" s="109">
        <v>2621188.5988001968</v>
      </c>
      <c r="V15" s="112">
        <v>0.50436220336120974</v>
      </c>
    </row>
    <row r="16" spans="1:22" x14ac:dyDescent="0.25">
      <c r="A16" s="141" t="str">
        <f>VLOOKUP("&lt;Zeilentitel_2&gt;",Uebersetzungen!$B$3:$E$200,Uebersetzungen!$B$2+1,FALSE)</f>
        <v>Kanton</v>
      </c>
      <c r="B16" s="36" t="str">
        <f>VLOOKUP("&lt;Zeilentitel_2.1&gt;",Uebersetzungen!$B$3:$E$200,Uebersetzungen!$B$2+1,FALSE)</f>
        <v>Zürich</v>
      </c>
      <c r="C16" s="17">
        <v>1312405.0000000065</v>
      </c>
      <c r="D16" s="22">
        <v>0.14765637313588637</v>
      </c>
      <c r="E16" s="24">
        <v>891444.82343934744</v>
      </c>
      <c r="F16" s="18">
        <v>0.72081417892578703</v>
      </c>
      <c r="G16" s="24">
        <v>859634.78245928627</v>
      </c>
      <c r="H16" s="22">
        <v>0.75555895755710512</v>
      </c>
      <c r="I16" s="19">
        <v>50138.142137250688</v>
      </c>
      <c r="J16" s="22">
        <v>5.0274051431084894</v>
      </c>
      <c r="K16" s="24">
        <v>32059.151780114149</v>
      </c>
      <c r="L16" s="18">
        <v>6.6311628012748436</v>
      </c>
      <c r="M16" s="24">
        <v>52391.439586501641</v>
      </c>
      <c r="N16" s="22">
        <v>4.9373573245215461</v>
      </c>
      <c r="O16" s="19">
        <v>704882.93707679131</v>
      </c>
      <c r="P16" s="22">
        <v>0.95548241228059616</v>
      </c>
      <c r="Q16" s="24">
        <v>20163.111878628461</v>
      </c>
      <c r="R16" s="18">
        <v>8.5541451190907019</v>
      </c>
      <c r="S16" s="24">
        <v>31810.04098006192</v>
      </c>
      <c r="T16" s="22">
        <v>6.7816147617274574</v>
      </c>
      <c r="U16" s="24">
        <v>420960.17656065826</v>
      </c>
      <c r="V16" s="64">
        <v>1.4632427128378742</v>
      </c>
    </row>
    <row r="17" spans="1:22" x14ac:dyDescent="0.25">
      <c r="A17" s="141"/>
      <c r="B17" s="36" t="str">
        <f>VLOOKUP("&lt;Zeilentitel_2.2&gt;",Uebersetzungen!$B$3:$E$200,Uebersetzungen!$B$2+1,FALSE)</f>
        <v>Bern</v>
      </c>
      <c r="C17" s="17">
        <v>879250.00000002165</v>
      </c>
      <c r="D17" s="22">
        <v>0.1450227962025078</v>
      </c>
      <c r="E17" s="24">
        <v>566405.79871133831</v>
      </c>
      <c r="F17" s="18">
        <v>0.92969125687488707</v>
      </c>
      <c r="G17" s="24">
        <v>550902.32090839499</v>
      </c>
      <c r="H17" s="22">
        <v>0.96050767592844122</v>
      </c>
      <c r="I17" s="19">
        <v>39098.00590141242</v>
      </c>
      <c r="J17" s="22">
        <v>5.6225578005263861</v>
      </c>
      <c r="K17" s="24">
        <v>22777.075513416545</v>
      </c>
      <c r="L17" s="18">
        <v>7.708173458770565</v>
      </c>
      <c r="M17" s="24">
        <v>30760.859626680933</v>
      </c>
      <c r="N17" s="22">
        <v>6.3833908511770927</v>
      </c>
      <c r="O17" s="19">
        <v>441950.63644105889</v>
      </c>
      <c r="P17" s="22">
        <v>1.2230767752783269</v>
      </c>
      <c r="Q17" s="24">
        <v>16315.743425825875</v>
      </c>
      <c r="R17" s="18">
        <v>9.2657755512701403</v>
      </c>
      <c r="S17" s="24">
        <v>15503.477802943245</v>
      </c>
      <c r="T17" s="22">
        <v>9.6355127134474028</v>
      </c>
      <c r="U17" s="24">
        <v>312844.20128868369</v>
      </c>
      <c r="V17" s="64">
        <v>1.6133108043175926</v>
      </c>
    </row>
    <row r="18" spans="1:22" x14ac:dyDescent="0.25">
      <c r="A18" s="141"/>
      <c r="B18" s="36" t="str">
        <f>VLOOKUP("&lt;Zeilentitel_2.3&gt;",Uebersetzungen!$B$3:$E$200,Uebersetzungen!$B$2+1,FALSE)</f>
        <v>Luzern</v>
      </c>
      <c r="C18" s="17">
        <v>352203.00000000221</v>
      </c>
      <c r="D18" s="22">
        <v>0.17401157788363</v>
      </c>
      <c r="E18" s="24">
        <v>237041.65694559156</v>
      </c>
      <c r="F18" s="18">
        <v>0.97126994080678908</v>
      </c>
      <c r="G18" s="24">
        <v>230504.76489028952</v>
      </c>
      <c r="H18" s="22">
        <v>1.0060356375522066</v>
      </c>
      <c r="I18" s="19">
        <v>15185.944849750591</v>
      </c>
      <c r="J18" s="22">
        <v>6.2981915573202079</v>
      </c>
      <c r="K18" s="24">
        <v>10523.107036471949</v>
      </c>
      <c r="L18" s="18">
        <v>7.8005395398059383</v>
      </c>
      <c r="M18" s="24">
        <v>13800.499179752438</v>
      </c>
      <c r="N18" s="22">
        <v>6.593430326673805</v>
      </c>
      <c r="O18" s="19">
        <v>183669.18174415134</v>
      </c>
      <c r="P18" s="22">
        <v>1.3086815259000593</v>
      </c>
      <c r="Q18" s="24">
        <v>7326.0320801635607</v>
      </c>
      <c r="R18" s="18">
        <v>9.5590083887747479</v>
      </c>
      <c r="S18" s="24">
        <v>6536.892055301998</v>
      </c>
      <c r="T18" s="22">
        <v>10.293990773212602</v>
      </c>
      <c r="U18" s="24">
        <v>115161.3430544103</v>
      </c>
      <c r="V18" s="64">
        <v>1.8768986748633252</v>
      </c>
    </row>
    <row r="19" spans="1:22" x14ac:dyDescent="0.25">
      <c r="A19" s="141"/>
      <c r="B19" s="36" t="str">
        <f>VLOOKUP("&lt;Zeilentitel_2.4&gt;",Uebersetzungen!$B$3:$E$200,Uebersetzungen!$B$2+1,FALSE)</f>
        <v>Uri</v>
      </c>
      <c r="C19" s="17">
        <v>31074.99999999992</v>
      </c>
      <c r="D19" s="22">
        <v>0.66752093390519951</v>
      </c>
      <c r="E19" s="24">
        <v>19384.785582808163</v>
      </c>
      <c r="F19" s="18">
        <v>5.020871463457981</v>
      </c>
      <c r="G19" s="24">
        <v>19157.341664405296</v>
      </c>
      <c r="H19" s="22">
        <v>5.0968908099207102</v>
      </c>
      <c r="I19" s="20">
        <v>1332.5801827710056</v>
      </c>
      <c r="J19" s="23">
        <v>29.591818271215935</v>
      </c>
      <c r="K19" s="25">
        <v>768.39476977370987</v>
      </c>
      <c r="L19" s="21">
        <v>39.85145563282159</v>
      </c>
      <c r="M19" s="25">
        <v>603.95853816433646</v>
      </c>
      <c r="N19" s="23">
        <v>43.948745646156766</v>
      </c>
      <c r="O19" s="19">
        <v>15945.177941427117</v>
      </c>
      <c r="P19" s="22">
        <v>6.2765884811670842</v>
      </c>
      <c r="Q19" s="25">
        <v>507.23023226913779</v>
      </c>
      <c r="R19" s="21">
        <v>48.112217004137179</v>
      </c>
      <c r="S19" s="25">
        <v>227.44391840286815</v>
      </c>
      <c r="T19" s="23">
        <v>73.320158086988883</v>
      </c>
      <c r="U19" s="24">
        <v>11690.214417191744</v>
      </c>
      <c r="V19" s="64">
        <v>7.9367172393359882</v>
      </c>
    </row>
    <row r="20" spans="1:22" x14ac:dyDescent="0.25">
      <c r="A20" s="141"/>
      <c r="B20" s="36" t="str">
        <f>VLOOKUP("&lt;Zeilentitel_2.5&gt;",Uebersetzungen!$B$3:$E$200,Uebersetzungen!$B$2+1,FALSE)</f>
        <v>Schwyz</v>
      </c>
      <c r="C20" s="17">
        <v>138672.00000000122</v>
      </c>
      <c r="D20" s="22">
        <v>0.44557971090414056</v>
      </c>
      <c r="E20" s="24">
        <v>92569.775174427283</v>
      </c>
      <c r="F20" s="18">
        <v>2.2285697666396698</v>
      </c>
      <c r="G20" s="24">
        <v>90281.461952088997</v>
      </c>
      <c r="H20" s="22">
        <v>2.2980507087000173</v>
      </c>
      <c r="I20" s="19">
        <v>5837.3338990047396</v>
      </c>
      <c r="J20" s="22">
        <v>14.686075710717606</v>
      </c>
      <c r="K20" s="24">
        <v>3659.3092377034004</v>
      </c>
      <c r="L20" s="18">
        <v>19.0414266685789</v>
      </c>
      <c r="M20" s="24">
        <v>7680.8796489671695</v>
      </c>
      <c r="N20" s="22">
        <v>12.507498070018858</v>
      </c>
      <c r="O20" s="19">
        <v>70570.422297515426</v>
      </c>
      <c r="P20" s="22">
        <v>3.0463275136062418</v>
      </c>
      <c r="Q20" s="24">
        <v>2533.5168688982317</v>
      </c>
      <c r="R20" s="18">
        <v>22.28928590819115</v>
      </c>
      <c r="S20" s="24">
        <v>2288.3132223382613</v>
      </c>
      <c r="T20" s="22">
        <v>24.991352249671657</v>
      </c>
      <c r="U20" s="24">
        <v>46102.224825574027</v>
      </c>
      <c r="V20" s="64">
        <v>4.27516488850807</v>
      </c>
    </row>
    <row r="21" spans="1:22" x14ac:dyDescent="0.25">
      <c r="A21" s="141"/>
      <c r="B21" s="36" t="str">
        <f>VLOOKUP("&lt;Zeilentitel_2.6&gt;",Uebersetzungen!$B$3:$E$200,Uebersetzungen!$B$2+1,FALSE)</f>
        <v>Obwalden</v>
      </c>
      <c r="C21" s="17">
        <v>32326.999999999905</v>
      </c>
      <c r="D21" s="22">
        <v>0.79098017845413482</v>
      </c>
      <c r="E21" s="24">
        <v>21217.146660502513</v>
      </c>
      <c r="F21" s="18">
        <v>4.5139384777283738</v>
      </c>
      <c r="G21" s="24">
        <v>20924.912842699086</v>
      </c>
      <c r="H21" s="22">
        <v>4.5918183551952438</v>
      </c>
      <c r="I21" s="20">
        <v>1754.189346148532</v>
      </c>
      <c r="J21" s="23">
        <v>25.926083523135006</v>
      </c>
      <c r="K21" s="25">
        <v>1222.5426421083655</v>
      </c>
      <c r="L21" s="21">
        <v>31.926199478868035</v>
      </c>
      <c r="M21" s="25">
        <v>1870.3170656810466</v>
      </c>
      <c r="N21" s="23">
        <v>24.543080673047267</v>
      </c>
      <c r="O21" s="19">
        <v>15188.752281940535</v>
      </c>
      <c r="P21" s="22">
        <v>6.5298618718428143</v>
      </c>
      <c r="Q21" s="25">
        <v>889.11150682061157</v>
      </c>
      <c r="R21" s="21">
        <v>40.132285491197415</v>
      </c>
      <c r="S21" s="24">
        <v>292.23381780342834</v>
      </c>
      <c r="T21" s="22">
        <v>69.097158472142411</v>
      </c>
      <c r="U21" s="24">
        <v>11109.853339497384</v>
      </c>
      <c r="V21" s="64">
        <v>8.7709042685512628</v>
      </c>
    </row>
    <row r="22" spans="1:22" x14ac:dyDescent="0.25">
      <c r="A22" s="141"/>
      <c r="B22" s="36" t="str">
        <f>VLOOKUP("&lt;Zeilentitel_2.7&gt;",Uebersetzungen!$B$3:$E$200,Uebersetzungen!$B$2+1,FALSE)</f>
        <v>Nidwalden</v>
      </c>
      <c r="C22" s="17">
        <v>37829.000000000182</v>
      </c>
      <c r="D22" s="22">
        <v>0.69384402512895105</v>
      </c>
      <c r="E22" s="24">
        <v>24679.669754512503</v>
      </c>
      <c r="F22" s="18">
        <v>4.4437568888896095</v>
      </c>
      <c r="G22" s="24">
        <v>24069.828037376115</v>
      </c>
      <c r="H22" s="22">
        <v>4.5770210431184273</v>
      </c>
      <c r="I22" s="20">
        <v>1524.6157352305759</v>
      </c>
      <c r="J22" s="23">
        <v>29.171395050237493</v>
      </c>
      <c r="K22" s="25">
        <v>1050.5478767552163</v>
      </c>
      <c r="L22" s="21">
        <v>36.204349104468967</v>
      </c>
      <c r="M22" s="24">
        <v>2323.1790468076183</v>
      </c>
      <c r="N22" s="22">
        <v>23.410183218054598</v>
      </c>
      <c r="O22" s="19">
        <v>18203.799042599603</v>
      </c>
      <c r="P22" s="22">
        <v>6.2864580274854518</v>
      </c>
      <c r="Q22" s="25">
        <v>967.68633598309066</v>
      </c>
      <c r="R22" s="21">
        <v>35.777945348720799</v>
      </c>
      <c r="S22" s="25">
        <v>609.84171713638557</v>
      </c>
      <c r="T22" s="23">
        <v>50.356321458060336</v>
      </c>
      <c r="U22" s="24">
        <v>13149.330245487698</v>
      </c>
      <c r="V22" s="64">
        <v>8.3063047295790682</v>
      </c>
    </row>
    <row r="23" spans="1:22" x14ac:dyDescent="0.25">
      <c r="A23" s="141"/>
      <c r="B23" s="36" t="str">
        <f>VLOOKUP("&lt;Zeilentitel_2.8&gt;",Uebersetzungen!$B$3:$E$200,Uebersetzungen!$B$2+1,FALSE)</f>
        <v>Glarus</v>
      </c>
      <c r="C23" s="17">
        <v>34613.000000000189</v>
      </c>
      <c r="D23" s="22">
        <v>1.1043443962313539</v>
      </c>
      <c r="E23" s="24">
        <v>21811.270947214769</v>
      </c>
      <c r="F23" s="18">
        <v>5.2675701492796296</v>
      </c>
      <c r="G23" s="24">
        <v>21460.773338200474</v>
      </c>
      <c r="H23" s="22">
        <v>5.363267188673098</v>
      </c>
      <c r="I23" s="20">
        <v>1406.5469495289476</v>
      </c>
      <c r="J23" s="23">
        <v>33.103400179895182</v>
      </c>
      <c r="K23" s="25">
        <v>1455.6226302582736</v>
      </c>
      <c r="L23" s="21">
        <v>32.085591700853335</v>
      </c>
      <c r="M23" s="25">
        <v>1054.3561786714345</v>
      </c>
      <c r="N23" s="23">
        <v>38.879146965824468</v>
      </c>
      <c r="O23" s="19">
        <v>17065.287529707719</v>
      </c>
      <c r="P23" s="22">
        <v>6.759796060524125</v>
      </c>
      <c r="Q23" s="25">
        <v>478.9600500341113</v>
      </c>
      <c r="R23" s="21">
        <v>58.291714072354729</v>
      </c>
      <c r="S23" s="25">
        <v>350.49760901429471</v>
      </c>
      <c r="T23" s="23">
        <v>68.872712530584508</v>
      </c>
      <c r="U23" s="24">
        <v>12801.729052785407</v>
      </c>
      <c r="V23" s="64">
        <v>8.4361527415255093</v>
      </c>
    </row>
    <row r="24" spans="1:22" x14ac:dyDescent="0.25">
      <c r="A24" s="141"/>
      <c r="B24" s="36" t="str">
        <f>VLOOKUP("&lt;Zeilentitel_2.9&gt;",Uebersetzungen!$B$3:$E$200,Uebersetzungen!$B$2+1,FALSE)</f>
        <v>Zug</v>
      </c>
      <c r="C24" s="17">
        <v>108988.00000000265</v>
      </c>
      <c r="D24" s="22">
        <v>0.31786915252122749</v>
      </c>
      <c r="E24" s="24">
        <v>72728.182914606106</v>
      </c>
      <c r="F24" s="18">
        <v>1.7666760905012981</v>
      </c>
      <c r="G24" s="24">
        <v>70255.264946625597</v>
      </c>
      <c r="H24" s="22">
        <v>1.8453198143162413</v>
      </c>
      <c r="I24" s="19">
        <v>4143.6883451764388</v>
      </c>
      <c r="J24" s="22">
        <v>12.09419912164539</v>
      </c>
      <c r="K24" s="24">
        <v>2756.9271077559597</v>
      </c>
      <c r="L24" s="18">
        <v>15.271641962996382</v>
      </c>
      <c r="M24" s="24">
        <v>6150.9147928767916</v>
      </c>
      <c r="N24" s="22">
        <v>9.9539038961220747</v>
      </c>
      <c r="O24" s="19">
        <v>55484.9188819064</v>
      </c>
      <c r="P24" s="22">
        <v>2.4139860803372728</v>
      </c>
      <c r="Q24" s="24">
        <v>1718.8158189100459</v>
      </c>
      <c r="R24" s="18">
        <v>18.980585005439853</v>
      </c>
      <c r="S24" s="24">
        <v>2472.917967980542</v>
      </c>
      <c r="T24" s="22">
        <v>16.601308745744998</v>
      </c>
      <c r="U24" s="24">
        <v>36259.81708539644</v>
      </c>
      <c r="V24" s="64">
        <v>3.3555864085343856</v>
      </c>
    </row>
    <row r="25" spans="1:22" x14ac:dyDescent="0.25">
      <c r="A25" s="141"/>
      <c r="B25" s="36" t="str">
        <f>VLOOKUP("&lt;Zeilentitel_2.10&gt;",Uebersetzungen!$B$3:$E$200,Uebersetzungen!$B$2+1,FALSE)</f>
        <v>Freiburg</v>
      </c>
      <c r="C25" s="17">
        <v>273360.00000000012</v>
      </c>
      <c r="D25" s="22">
        <v>0.27095168172931344</v>
      </c>
      <c r="E25" s="24">
        <v>180431.00531662593</v>
      </c>
      <c r="F25" s="18">
        <v>1.6075564358950332</v>
      </c>
      <c r="G25" s="24">
        <v>172405.28958899796</v>
      </c>
      <c r="H25" s="22">
        <v>1.6977895403816803</v>
      </c>
      <c r="I25" s="19">
        <v>11160.091210902423</v>
      </c>
      <c r="J25" s="22">
        <v>10.519709921113977</v>
      </c>
      <c r="K25" s="24">
        <v>4007.3315465161586</v>
      </c>
      <c r="L25" s="18">
        <v>18.152827348947895</v>
      </c>
      <c r="M25" s="24">
        <v>8444.4661277949926</v>
      </c>
      <c r="N25" s="22">
        <v>12.204862181844366</v>
      </c>
      <c r="O25" s="19">
        <v>144570.03983798149</v>
      </c>
      <c r="P25" s="22">
        <v>2.0776623179218583</v>
      </c>
      <c r="Q25" s="24">
        <v>4223.3608658028552</v>
      </c>
      <c r="R25" s="18">
        <v>18.170214357234737</v>
      </c>
      <c r="S25" s="24">
        <v>8025.7157276278631</v>
      </c>
      <c r="T25" s="22">
        <v>13.289365287228826</v>
      </c>
      <c r="U25" s="24">
        <v>92928.994683374374</v>
      </c>
      <c r="V25" s="64">
        <v>3.0044451482495598</v>
      </c>
    </row>
    <row r="26" spans="1:22" x14ac:dyDescent="0.25">
      <c r="A26" s="141"/>
      <c r="B26" s="36" t="str">
        <f>VLOOKUP("&lt;Zeilentitel_2.11&gt;",Uebersetzungen!$B$3:$E$200,Uebersetzungen!$B$2+1,FALSE)</f>
        <v>Solothurn</v>
      </c>
      <c r="C26" s="17">
        <v>237079.99999999983</v>
      </c>
      <c r="D26" s="22">
        <v>0.33945140530504447</v>
      </c>
      <c r="E26" s="24">
        <v>148330.99535448791</v>
      </c>
      <c r="F26" s="18">
        <v>1.9178204089397153</v>
      </c>
      <c r="G26" s="24">
        <v>143830.47473329186</v>
      </c>
      <c r="H26" s="22">
        <v>1.9840857443256319</v>
      </c>
      <c r="I26" s="19">
        <v>8918.5262220137665</v>
      </c>
      <c r="J26" s="22">
        <v>12.111567319595734</v>
      </c>
      <c r="K26" s="24">
        <v>6826.8432120657399</v>
      </c>
      <c r="L26" s="18">
        <v>14.404345436383014</v>
      </c>
      <c r="M26" s="24">
        <v>7916.5857296370759</v>
      </c>
      <c r="N26" s="22">
        <v>12.845870172096555</v>
      </c>
      <c r="O26" s="19">
        <v>116133.56652623537</v>
      </c>
      <c r="P26" s="22">
        <v>2.4866912202600235</v>
      </c>
      <c r="Q26" s="24">
        <v>4034.9530433401005</v>
      </c>
      <c r="R26" s="18">
        <v>18.941529243645462</v>
      </c>
      <c r="S26" s="24">
        <v>4500.5206211960649</v>
      </c>
      <c r="T26" s="22">
        <v>18.31540814734954</v>
      </c>
      <c r="U26" s="24">
        <v>88749.004645511755</v>
      </c>
      <c r="V26" s="64">
        <v>3.0684256104683962</v>
      </c>
    </row>
    <row r="27" spans="1:22" x14ac:dyDescent="0.25">
      <c r="A27" s="141"/>
      <c r="B27" s="36" t="str">
        <f>VLOOKUP("&lt;Zeilentitel_2.12&gt;",Uebersetzungen!$B$3:$E$200,Uebersetzungen!$B$2+1,FALSE)</f>
        <v>Basel-Stadt</v>
      </c>
      <c r="C27" s="17">
        <v>165064.00000000329</v>
      </c>
      <c r="D27" s="22">
        <v>0.4802279921465949</v>
      </c>
      <c r="E27" s="24">
        <v>101925.98833943336</v>
      </c>
      <c r="F27" s="18">
        <v>2.3673476506867539</v>
      </c>
      <c r="G27" s="24">
        <v>97131.080512297412</v>
      </c>
      <c r="H27" s="22">
        <v>2.4898038095333352</v>
      </c>
      <c r="I27" s="19">
        <v>6566.5078971909306</v>
      </c>
      <c r="J27" s="22">
        <v>14.320345047963812</v>
      </c>
      <c r="K27" s="24">
        <v>2747.7202309698027</v>
      </c>
      <c r="L27" s="18">
        <v>22.899158215714046</v>
      </c>
      <c r="M27" s="24">
        <v>5218.737509454787</v>
      </c>
      <c r="N27" s="22">
        <v>16.284859956599949</v>
      </c>
      <c r="O27" s="19">
        <v>81069.409523962866</v>
      </c>
      <c r="P27" s="22">
        <v>3.0082573315991543</v>
      </c>
      <c r="Q27" s="25">
        <v>1528.7053507191097</v>
      </c>
      <c r="R27" s="21">
        <v>32.544501444830409</v>
      </c>
      <c r="S27" s="24">
        <v>4794.9078271359722</v>
      </c>
      <c r="T27" s="22">
        <v>18.216256279218133</v>
      </c>
      <c r="U27" s="24">
        <v>63138.011660569828</v>
      </c>
      <c r="V27" s="64">
        <v>3.7377283726633825</v>
      </c>
    </row>
    <row r="28" spans="1:22" x14ac:dyDescent="0.25">
      <c r="A28" s="141"/>
      <c r="B28" s="36" t="str">
        <f>VLOOKUP("&lt;Zeilentitel_2.13&gt;",Uebersetzungen!$B$3:$E$200,Uebersetzungen!$B$2+1,FALSE)</f>
        <v>Basel-Landschaft</v>
      </c>
      <c r="C28" s="17">
        <v>247484.99999999569</v>
      </c>
      <c r="D28" s="22">
        <v>0.30876322003811896</v>
      </c>
      <c r="E28" s="24">
        <v>148621.6524357149</v>
      </c>
      <c r="F28" s="18">
        <v>1.9345418674151098</v>
      </c>
      <c r="G28" s="24">
        <v>142516.05754963972</v>
      </c>
      <c r="H28" s="22">
        <v>2.0176134194973518</v>
      </c>
      <c r="I28" s="19">
        <v>9178.0670313622031</v>
      </c>
      <c r="J28" s="22">
        <v>11.616114190740086</v>
      </c>
      <c r="K28" s="24">
        <v>5089.5275548990066</v>
      </c>
      <c r="L28" s="18">
        <v>16.260975240370801</v>
      </c>
      <c r="M28" s="24">
        <v>8566.9648618722531</v>
      </c>
      <c r="N28" s="22">
        <v>12.135196328256519</v>
      </c>
      <c r="O28" s="19">
        <v>116858.77765293964</v>
      </c>
      <c r="P28" s="22">
        <v>2.46339421465342</v>
      </c>
      <c r="Q28" s="24">
        <v>2822.7204485665361</v>
      </c>
      <c r="R28" s="18">
        <v>22.717235710443504</v>
      </c>
      <c r="S28" s="24">
        <v>6105.5948860751641</v>
      </c>
      <c r="T28" s="22">
        <v>15.50060639367552</v>
      </c>
      <c r="U28" s="24">
        <v>98863.347564280906</v>
      </c>
      <c r="V28" s="64">
        <v>2.7642888443601801</v>
      </c>
    </row>
    <row r="29" spans="1:22" x14ac:dyDescent="0.25">
      <c r="A29" s="141"/>
      <c r="B29" s="36" t="str">
        <f>VLOOKUP("&lt;Zeilentitel_2.14&gt;",Uebersetzungen!$B$3:$E$200,Uebersetzungen!$B$2+1,FALSE)</f>
        <v>Schaffhausen</v>
      </c>
      <c r="C29" s="17">
        <v>71534.999999999665</v>
      </c>
      <c r="D29" s="22">
        <v>0.68399138623845657</v>
      </c>
      <c r="E29" s="24">
        <v>43585.376888788756</v>
      </c>
      <c r="F29" s="18">
        <v>3.6729880892694928</v>
      </c>
      <c r="G29" s="24">
        <v>41919.177617759386</v>
      </c>
      <c r="H29" s="22">
        <v>3.8220515613850363</v>
      </c>
      <c r="I29" s="19">
        <v>2809.6809883678811</v>
      </c>
      <c r="J29" s="22">
        <v>21.676954886460521</v>
      </c>
      <c r="K29" s="24">
        <v>1539.5467601728055</v>
      </c>
      <c r="L29" s="18">
        <v>30.358196484872991</v>
      </c>
      <c r="M29" s="24">
        <v>2025.2448380888613</v>
      </c>
      <c r="N29" s="22">
        <v>26.097057068030033</v>
      </c>
      <c r="O29" s="19">
        <v>34312.302449684605</v>
      </c>
      <c r="P29" s="22">
        <v>4.6452316685885773</v>
      </c>
      <c r="Q29" s="25">
        <v>1232.4025814452109</v>
      </c>
      <c r="R29" s="21">
        <v>36.482505088804949</v>
      </c>
      <c r="S29" s="24">
        <v>1666.1992710293825</v>
      </c>
      <c r="T29" s="22">
        <v>30.280556804804377</v>
      </c>
      <c r="U29" s="24">
        <v>27949.623111210909</v>
      </c>
      <c r="V29" s="64">
        <v>5.292601144323422</v>
      </c>
    </row>
    <row r="30" spans="1:22" x14ac:dyDescent="0.25">
      <c r="A30" s="141"/>
      <c r="B30" s="36" t="str">
        <f>VLOOKUP("&lt;Zeilentitel_2.15&gt;",Uebersetzungen!$B$3:$E$200,Uebersetzungen!$B$2+1,FALSE)</f>
        <v>Appenzell Ausserrhoden</v>
      </c>
      <c r="C30" s="17">
        <v>46087.99999999936</v>
      </c>
      <c r="D30" s="22">
        <v>0.71462856760745275</v>
      </c>
      <c r="E30" s="24">
        <v>30263.581038378325</v>
      </c>
      <c r="F30" s="18">
        <v>4.1818250566146649</v>
      </c>
      <c r="G30" s="24">
        <v>29336.447653304713</v>
      </c>
      <c r="H30" s="22">
        <v>4.3380785958828776</v>
      </c>
      <c r="I30" s="19">
        <v>2568.4214696150639</v>
      </c>
      <c r="J30" s="22">
        <v>23.054742855887614</v>
      </c>
      <c r="K30" s="24">
        <v>1787.03689447441</v>
      </c>
      <c r="L30" s="18">
        <v>28.130666592909186</v>
      </c>
      <c r="M30" s="24">
        <v>2279.6157304702838</v>
      </c>
      <c r="N30" s="22">
        <v>23.666903423744987</v>
      </c>
      <c r="O30" s="19">
        <v>21712.686320864217</v>
      </c>
      <c r="P30" s="22">
        <v>5.9692732900836267</v>
      </c>
      <c r="Q30" s="25">
        <v>988.68723788073544</v>
      </c>
      <c r="R30" s="21">
        <v>37.06708052826788</v>
      </c>
      <c r="S30" s="25">
        <v>927.13338507360891</v>
      </c>
      <c r="T30" s="23">
        <v>40.469268127223906</v>
      </c>
      <c r="U30" s="24">
        <v>15824.418961621035</v>
      </c>
      <c r="V30" s="64">
        <v>7.2091813824278077</v>
      </c>
    </row>
    <row r="31" spans="1:22" x14ac:dyDescent="0.25">
      <c r="A31" s="141"/>
      <c r="B31" s="36" t="str">
        <f>VLOOKUP("&lt;Zeilentitel_2.16&gt;",Uebersetzungen!$B$3:$E$200,Uebersetzungen!$B$2+1,FALSE)</f>
        <v>Appenzell Innerrhoden</v>
      </c>
      <c r="C31" s="17">
        <v>13537.999999999996</v>
      </c>
      <c r="D31" s="22">
        <v>1.7050358244601</v>
      </c>
      <c r="E31" s="24">
        <v>8856.0871313696225</v>
      </c>
      <c r="F31" s="18">
        <v>7.8541344842184522</v>
      </c>
      <c r="G31" s="24">
        <v>8667.384927631043</v>
      </c>
      <c r="H31" s="22">
        <v>8.0040303461048925</v>
      </c>
      <c r="I31" s="20">
        <v>715.87620445856305</v>
      </c>
      <c r="J31" s="23">
        <v>43.876550205348309</v>
      </c>
      <c r="K31" s="25">
        <v>493.55852304395665</v>
      </c>
      <c r="L31" s="21">
        <v>53.575414451425935</v>
      </c>
      <c r="M31" s="25">
        <v>809.08991250899999</v>
      </c>
      <c r="N31" s="23">
        <v>39.484626805003316</v>
      </c>
      <c r="O31" s="19">
        <v>6270.3854443551372</v>
      </c>
      <c r="P31" s="22">
        <v>11.154204125874907</v>
      </c>
      <c r="Q31" s="25">
        <v>378.47484326438916</v>
      </c>
      <c r="R31" s="21">
        <v>67.087898486156433</v>
      </c>
      <c r="S31" s="24" t="s">
        <v>333</v>
      </c>
      <c r="T31" s="22" t="s">
        <v>333</v>
      </c>
      <c r="U31" s="24">
        <v>4681.9128686303702</v>
      </c>
      <c r="V31" s="64">
        <v>13.507251112260553</v>
      </c>
    </row>
    <row r="32" spans="1:22" x14ac:dyDescent="0.25">
      <c r="A32" s="141"/>
      <c r="B32" s="36" t="str">
        <f>VLOOKUP("&lt;Zeilentitel_2.17&gt;",Uebersetzungen!$B$3:$E$200,Uebersetzungen!$B$2+1,FALSE)</f>
        <v>St. Gallen</v>
      </c>
      <c r="C32" s="17">
        <v>436947.9999999943</v>
      </c>
      <c r="D32" s="22">
        <v>0.24636486103237087</v>
      </c>
      <c r="E32" s="24">
        <v>283807.63743651885</v>
      </c>
      <c r="F32" s="18">
        <v>1.34723939121112</v>
      </c>
      <c r="G32" s="24">
        <v>274583.90189836861</v>
      </c>
      <c r="H32" s="22">
        <v>1.4002209317198728</v>
      </c>
      <c r="I32" s="19">
        <v>16182.714742872202</v>
      </c>
      <c r="J32" s="22">
        <v>8.9871003007885442</v>
      </c>
      <c r="K32" s="24">
        <v>15348.740435569005</v>
      </c>
      <c r="L32" s="18">
        <v>9.5008294821405492</v>
      </c>
      <c r="M32" s="24">
        <v>17185.558530103255</v>
      </c>
      <c r="N32" s="22">
        <v>8.7491493930990263</v>
      </c>
      <c r="O32" s="19">
        <v>218068.59364307273</v>
      </c>
      <c r="P32" s="22">
        <v>1.7989683713168338</v>
      </c>
      <c r="Q32" s="24">
        <v>7798.2945467514837</v>
      </c>
      <c r="R32" s="18">
        <v>13.480885620183232</v>
      </c>
      <c r="S32" s="24">
        <v>9223.7355381502584</v>
      </c>
      <c r="T32" s="22">
        <v>12.7322078603757</v>
      </c>
      <c r="U32" s="24">
        <v>153140.36256347533</v>
      </c>
      <c r="V32" s="64">
        <v>2.3542434194148214</v>
      </c>
    </row>
    <row r="33" spans="1:22" x14ac:dyDescent="0.25">
      <c r="A33" s="141"/>
      <c r="B33" s="37" t="str">
        <f>VLOOKUP("&lt;Zeilentitel_2.18&gt;",Uebersetzungen!$B$3:$E$200,Uebersetzungen!$B$2+1,FALSE)</f>
        <v>Graubünden</v>
      </c>
      <c r="C33" s="31">
        <v>172987.00000000143</v>
      </c>
      <c r="D33" s="32">
        <v>0.30992133630707747</v>
      </c>
      <c r="E33" s="33">
        <v>109790.1875684976</v>
      </c>
      <c r="F33" s="34">
        <v>2.1802218470485153</v>
      </c>
      <c r="G33" s="33">
        <v>107516.6050339214</v>
      </c>
      <c r="H33" s="32">
        <v>2.232961122009395</v>
      </c>
      <c r="I33" s="35">
        <v>9296.2938990148104</v>
      </c>
      <c r="J33" s="32">
        <v>11.714345699928614</v>
      </c>
      <c r="K33" s="33">
        <v>4880.1010036287098</v>
      </c>
      <c r="L33" s="34">
        <v>16.648303180382364</v>
      </c>
      <c r="M33" s="33">
        <v>7455.3895184435351</v>
      </c>
      <c r="N33" s="32">
        <v>13.11601606448145</v>
      </c>
      <c r="O33" s="35">
        <v>82683.288440694829</v>
      </c>
      <c r="P33" s="32">
        <v>2.961131900515463</v>
      </c>
      <c r="Q33" s="33">
        <v>3201.5321721395994</v>
      </c>
      <c r="R33" s="34">
        <v>20.317967540486357</v>
      </c>
      <c r="S33" s="33">
        <v>2273.5825345761564</v>
      </c>
      <c r="T33" s="32">
        <v>25.546793337573483</v>
      </c>
      <c r="U33" s="33">
        <v>63196.812431503749</v>
      </c>
      <c r="V33" s="65">
        <v>3.5749644565401417</v>
      </c>
    </row>
    <row r="34" spans="1:22" x14ac:dyDescent="0.25">
      <c r="A34" s="141"/>
      <c r="B34" s="36" t="str">
        <f>VLOOKUP("&lt;Zeilentitel_2.19&gt;",Uebersetzungen!$B$3:$E$200,Uebersetzungen!$B$2+1,FALSE)</f>
        <v>Aargau</v>
      </c>
      <c r="C34" s="17">
        <v>592754.0000000156</v>
      </c>
      <c r="D34" s="22">
        <v>0.14774617140954108</v>
      </c>
      <c r="E34" s="24">
        <v>387510.67619189649</v>
      </c>
      <c r="F34" s="18">
        <v>0.79458193966090629</v>
      </c>
      <c r="G34" s="24">
        <v>374276.91976506665</v>
      </c>
      <c r="H34" s="22">
        <v>0.82725175644930848</v>
      </c>
      <c r="I34" s="19">
        <v>20142.215672515245</v>
      </c>
      <c r="J34" s="22">
        <v>5.5791730825541856</v>
      </c>
      <c r="K34" s="24">
        <v>16702.941652363676</v>
      </c>
      <c r="L34" s="18">
        <v>6.3947928918501074</v>
      </c>
      <c r="M34" s="24">
        <v>21414.817651178844</v>
      </c>
      <c r="N34" s="22">
        <v>5.43325985120046</v>
      </c>
      <c r="O34" s="19">
        <v>305075.05491356913</v>
      </c>
      <c r="P34" s="22">
        <v>1.0399330860773806</v>
      </c>
      <c r="Q34" s="24">
        <v>10941.889875439771</v>
      </c>
      <c r="R34" s="18">
        <v>7.9307033723501679</v>
      </c>
      <c r="S34" s="24">
        <v>13233.756426829816</v>
      </c>
      <c r="T34" s="22">
        <v>7.459820363739798</v>
      </c>
      <c r="U34" s="24">
        <v>205243.32380811911</v>
      </c>
      <c r="V34" s="64">
        <v>1.431609993447218</v>
      </c>
    </row>
    <row r="35" spans="1:22" ht="12.75" customHeight="1" x14ac:dyDescent="0.25">
      <c r="A35" s="141"/>
      <c r="B35" s="36" t="str">
        <f>VLOOKUP("&lt;Zeilentitel_2.20&gt;",Uebersetzungen!$B$3:$E$200,Uebersetzungen!$B$2+1,FALSE)</f>
        <v>Thurgau</v>
      </c>
      <c r="C35" s="17">
        <v>241240.99999999872</v>
      </c>
      <c r="D35" s="22">
        <v>0.22864373436405619</v>
      </c>
      <c r="E35" s="24">
        <v>158466.10138018039</v>
      </c>
      <c r="F35" s="18">
        <v>1.2499318539242745</v>
      </c>
      <c r="G35" s="24">
        <v>153240.11783468159</v>
      </c>
      <c r="H35" s="22">
        <v>1.3009221762056318</v>
      </c>
      <c r="I35" s="19">
        <v>10908.036848992015</v>
      </c>
      <c r="J35" s="22">
        <v>7.6110165704521817</v>
      </c>
      <c r="K35" s="24">
        <v>7965.4963437582119</v>
      </c>
      <c r="L35" s="18">
        <v>9.1817111840660992</v>
      </c>
      <c r="M35" s="24">
        <v>9889.6629819739719</v>
      </c>
      <c r="N35" s="22">
        <v>8.0188139738734385</v>
      </c>
      <c r="O35" s="19">
        <v>119979.8323829289</v>
      </c>
      <c r="P35" s="22">
        <v>1.7022744805275218</v>
      </c>
      <c r="Q35" s="24">
        <v>4497.0892770282171</v>
      </c>
      <c r="R35" s="18">
        <v>12.314669688822727</v>
      </c>
      <c r="S35" s="24">
        <v>5225.983545499108</v>
      </c>
      <c r="T35" s="22">
        <v>11.775160831353531</v>
      </c>
      <c r="U35" s="24">
        <v>82774.898619818297</v>
      </c>
      <c r="V35" s="64">
        <v>2.2334258298798599</v>
      </c>
    </row>
    <row r="36" spans="1:22" x14ac:dyDescent="0.25">
      <c r="A36" s="141"/>
      <c r="B36" s="36" t="str">
        <f>VLOOKUP("&lt;Zeilentitel_2.21&gt;",Uebersetzungen!$B$3:$E$200,Uebersetzungen!$B$2+1,FALSE)</f>
        <v>Ticino</v>
      </c>
      <c r="C36" s="17">
        <v>303163.0000000025</v>
      </c>
      <c r="D36" s="22">
        <v>0.17623012132822197</v>
      </c>
      <c r="E36" s="24">
        <v>166368.22407663884</v>
      </c>
      <c r="F36" s="18">
        <v>1.3446574430840033</v>
      </c>
      <c r="G36" s="24">
        <v>155339.44147953403</v>
      </c>
      <c r="H36" s="22">
        <v>1.4330632578033566</v>
      </c>
      <c r="I36" s="19">
        <v>14651.127726948465</v>
      </c>
      <c r="J36" s="22">
        <v>6.4997765179793978</v>
      </c>
      <c r="K36" s="24">
        <v>2024.2555415925922</v>
      </c>
      <c r="L36" s="18">
        <v>17.761128959282402</v>
      </c>
      <c r="M36" s="24">
        <v>11865.951603757017</v>
      </c>
      <c r="N36" s="22">
        <v>7.1817758197949848</v>
      </c>
      <c r="O36" s="19">
        <v>123601.17122238805</v>
      </c>
      <c r="P36" s="22">
        <v>1.7630510447607981</v>
      </c>
      <c r="Q36" s="24">
        <v>3196.9353848476476</v>
      </c>
      <c r="R36" s="18">
        <v>14.960464300406848</v>
      </c>
      <c r="S36" s="24">
        <v>11028.782597104881</v>
      </c>
      <c r="T36" s="22">
        <v>7.9543863193093358</v>
      </c>
      <c r="U36" s="24">
        <v>136794.77592336389</v>
      </c>
      <c r="V36" s="64">
        <v>1.6105677042935849</v>
      </c>
    </row>
    <row r="37" spans="1:22" x14ac:dyDescent="0.25">
      <c r="A37" s="141"/>
      <c r="B37" s="36" t="str">
        <f>VLOOKUP("&lt;Zeilentitel_2.22&gt;",Uebersetzungen!$B$3:$E$200,Uebersetzungen!$B$2+1,FALSE)</f>
        <v>Vaud</v>
      </c>
      <c r="C37" s="17">
        <v>678300.00000000384</v>
      </c>
      <c r="D37" s="22">
        <v>0.14318553783243421</v>
      </c>
      <c r="E37" s="24">
        <v>424917.44188324455</v>
      </c>
      <c r="F37" s="18">
        <v>0.78040071254482679</v>
      </c>
      <c r="G37" s="24">
        <v>395625.2809127529</v>
      </c>
      <c r="H37" s="22">
        <v>0.84362606354443337</v>
      </c>
      <c r="I37" s="19">
        <v>30923.764381450121</v>
      </c>
      <c r="J37" s="22">
        <v>4.4788362077660553</v>
      </c>
      <c r="K37" s="24">
        <v>6124.7309178269852</v>
      </c>
      <c r="L37" s="18">
        <v>10.393980286797188</v>
      </c>
      <c r="M37" s="24">
        <v>19855.975039696383</v>
      </c>
      <c r="N37" s="22">
        <v>5.6211638501970169</v>
      </c>
      <c r="O37" s="19">
        <v>329765.77270629938</v>
      </c>
      <c r="P37" s="22">
        <v>1.0186873682746322</v>
      </c>
      <c r="Q37" s="24">
        <v>8955.0378674805961</v>
      </c>
      <c r="R37" s="18">
        <v>9.0522466322759954</v>
      </c>
      <c r="S37" s="24">
        <v>29292.160970492099</v>
      </c>
      <c r="T37" s="22">
        <v>4.9067103111621853</v>
      </c>
      <c r="U37" s="24">
        <v>253382.55811675827</v>
      </c>
      <c r="V37" s="64">
        <v>1.2686149547587973</v>
      </c>
    </row>
    <row r="38" spans="1:22" x14ac:dyDescent="0.25">
      <c r="A38" s="141"/>
      <c r="B38" s="36" t="str">
        <f>VLOOKUP("&lt;Zeilentitel_2.23&gt;",Uebersetzungen!$B$3:$E$200,Uebersetzungen!$B$2+1,FALSE)</f>
        <v>Wallis</v>
      </c>
      <c r="C38" s="17">
        <v>299210.00000000012</v>
      </c>
      <c r="D38" s="22">
        <v>0.2917024642248805</v>
      </c>
      <c r="E38" s="24">
        <v>181960.40664504227</v>
      </c>
      <c r="F38" s="18">
        <v>1.7589366632601513</v>
      </c>
      <c r="G38" s="24">
        <v>174720.3805177777</v>
      </c>
      <c r="H38" s="22">
        <v>1.8353885651811734</v>
      </c>
      <c r="I38" s="19">
        <v>12235.549914833118</v>
      </c>
      <c r="J38" s="22">
        <v>10.251312756958846</v>
      </c>
      <c r="K38" s="24">
        <v>4703.2330408062389</v>
      </c>
      <c r="L38" s="18">
        <v>16.890844983197422</v>
      </c>
      <c r="M38" s="24">
        <v>12692.173850374118</v>
      </c>
      <c r="N38" s="22">
        <v>10.030014648386665</v>
      </c>
      <c r="O38" s="19">
        <v>141381.65685474838</v>
      </c>
      <c r="P38" s="22">
        <v>2.2777549208708323</v>
      </c>
      <c r="Q38" s="24">
        <v>3707.7668570156457</v>
      </c>
      <c r="R38" s="18">
        <v>19.454754330408576</v>
      </c>
      <c r="S38" s="24">
        <v>7240.0261272645394</v>
      </c>
      <c r="T38" s="22">
        <v>14.222639247486578</v>
      </c>
      <c r="U38" s="24">
        <v>117249.59335495811</v>
      </c>
      <c r="V38" s="64">
        <v>2.5692186375559922</v>
      </c>
    </row>
    <row r="39" spans="1:22" x14ac:dyDescent="0.25">
      <c r="A39" s="141"/>
      <c r="B39" s="36" t="str">
        <f>VLOOKUP("&lt;Zeilentitel_2.24&gt;",Uebersetzungen!$B$3:$E$200,Uebersetzungen!$B$2+1,FALSE)</f>
        <v>Neuchâtel</v>
      </c>
      <c r="C39" s="17">
        <v>147269.9999999986</v>
      </c>
      <c r="D39" s="22">
        <v>0.30607967779641143</v>
      </c>
      <c r="E39" s="24">
        <v>91198.085362621292</v>
      </c>
      <c r="F39" s="18">
        <v>1.71284976165474</v>
      </c>
      <c r="G39" s="24">
        <v>85734.887712141106</v>
      </c>
      <c r="H39" s="22">
        <v>1.8313740921779089</v>
      </c>
      <c r="I39" s="19">
        <v>6721.9816439628594</v>
      </c>
      <c r="J39" s="22">
        <v>9.5810520375261028</v>
      </c>
      <c r="K39" s="24">
        <v>1312.6637373035887</v>
      </c>
      <c r="L39" s="18">
        <v>22.541949991907074</v>
      </c>
      <c r="M39" s="24">
        <v>3766.8243717823052</v>
      </c>
      <c r="N39" s="22">
        <v>12.972611515480549</v>
      </c>
      <c r="O39" s="19">
        <v>71806.24258165533</v>
      </c>
      <c r="P39" s="22">
        <v>2.1999858100220373</v>
      </c>
      <c r="Q39" s="24">
        <v>2127.1753774371059</v>
      </c>
      <c r="R39" s="18">
        <v>17.491908600335442</v>
      </c>
      <c r="S39" s="24">
        <v>5463.1976504801305</v>
      </c>
      <c r="T39" s="22">
        <v>11.211923949102232</v>
      </c>
      <c r="U39" s="24">
        <v>56071.914637377296</v>
      </c>
      <c r="V39" s="64">
        <v>2.6053983721286631</v>
      </c>
    </row>
    <row r="40" spans="1:22" x14ac:dyDescent="0.25">
      <c r="A40" s="141"/>
      <c r="B40" s="36" t="str">
        <f>VLOOKUP("&lt;Zeilentitel_2.25&gt;",Uebersetzungen!$B$3:$E$200,Uebersetzungen!$B$2+1,FALSE)</f>
        <v>Genève</v>
      </c>
      <c r="C40" s="17">
        <v>392799.99999999808</v>
      </c>
      <c r="D40" s="22">
        <v>0.23111712258106995</v>
      </c>
      <c r="E40" s="24">
        <v>236825.16439801647</v>
      </c>
      <c r="F40" s="18">
        <v>1.1385005299786159</v>
      </c>
      <c r="G40" s="24">
        <v>212016.80770539364</v>
      </c>
      <c r="H40" s="22">
        <v>1.2687594393486896</v>
      </c>
      <c r="I40" s="19">
        <v>16156.521530144095</v>
      </c>
      <c r="J40" s="22">
        <v>6.4834639714009592</v>
      </c>
      <c r="K40" s="24">
        <v>2755.9794321176582</v>
      </c>
      <c r="L40" s="18">
        <v>16.604315883787578</v>
      </c>
      <c r="M40" s="24">
        <v>10546.067272604512</v>
      </c>
      <c r="N40" s="22">
        <v>7.9680264826476694</v>
      </c>
      <c r="O40" s="19">
        <v>179740.8744829768</v>
      </c>
      <c r="P40" s="22">
        <v>1.4866598945717389</v>
      </c>
      <c r="Q40" s="24">
        <v>2817.364987550513</v>
      </c>
      <c r="R40" s="18">
        <v>16.995759100266948</v>
      </c>
      <c r="S40" s="24">
        <v>24808.356692623034</v>
      </c>
      <c r="T40" s="22">
        <v>5.5336105620629228</v>
      </c>
      <c r="U40" s="24">
        <v>155974.8356019815</v>
      </c>
      <c r="V40" s="64">
        <v>1.6312898069505324</v>
      </c>
    </row>
    <row r="41" spans="1:22" ht="13" thickBot="1" x14ac:dyDescent="0.3">
      <c r="A41" s="142"/>
      <c r="B41" s="66" t="str">
        <f>VLOOKUP("&lt;Zeilentitel_2.26&gt;",Uebersetzungen!$B$3:$E$200,Uebersetzungen!$B$2+1,FALSE)</f>
        <v>Jura</v>
      </c>
      <c r="C41" s="67">
        <v>61633.999999999643</v>
      </c>
      <c r="D41" s="68">
        <v>0.65787418006012077</v>
      </c>
      <c r="E41" s="69">
        <v>36488.679622053809</v>
      </c>
      <c r="F41" s="70">
        <v>3.9361307560817753</v>
      </c>
      <c r="G41" s="69">
        <v>34126.216312285062</v>
      </c>
      <c r="H41" s="68">
        <v>4.2137914249303918</v>
      </c>
      <c r="I41" s="71">
        <v>2759.6587540414366</v>
      </c>
      <c r="J41" s="68">
        <v>21.140086346750781</v>
      </c>
      <c r="K41" s="72">
        <v>1178.9787906232104</v>
      </c>
      <c r="L41" s="73">
        <v>33.797206749927817</v>
      </c>
      <c r="M41" s="72">
        <v>1760.2723939463108</v>
      </c>
      <c r="N41" s="74">
        <v>26.331136392480929</v>
      </c>
      <c r="O41" s="71">
        <v>27305.983070695613</v>
      </c>
      <c r="P41" s="68">
        <v>5.2607340240228941</v>
      </c>
      <c r="Q41" s="72">
        <v>1121.3233029784972</v>
      </c>
      <c r="R41" s="73">
        <v>34.589163589143617</v>
      </c>
      <c r="S41" s="69">
        <v>2362.4633097687388</v>
      </c>
      <c r="T41" s="68">
        <v>24.565656711750275</v>
      </c>
      <c r="U41" s="69">
        <v>25145.320377945842</v>
      </c>
      <c r="V41" s="75">
        <v>5.6135448145449844</v>
      </c>
    </row>
    <row r="42" spans="1:22" ht="13" x14ac:dyDescent="0.25">
      <c r="A42" s="16"/>
      <c r="B42" s="10"/>
      <c r="C42" s="9"/>
      <c r="D42" s="11"/>
      <c r="E42" s="12"/>
      <c r="F42" s="13"/>
      <c r="G42" s="14"/>
      <c r="H42" s="13"/>
      <c r="I42" s="14"/>
      <c r="J42" s="13"/>
      <c r="K42" s="14"/>
      <c r="L42" s="14"/>
      <c r="M42" s="13"/>
      <c r="N42" s="14"/>
    </row>
    <row r="43" spans="1:22" x14ac:dyDescent="0.25">
      <c r="A43" s="15" t="str">
        <f>VLOOKUP("&lt;Legende_1&gt;",Uebersetzungen!$B$3:$E$200,Uebersetzungen!$B$2+1,FALSE)</f>
        <v>(): Extrapolation aufgrund von 49 oder weniger Beobachtungen. Die Resultate sind mit grosser Vorsicht zu interpretieren.</v>
      </c>
    </row>
    <row r="44" spans="1:22" x14ac:dyDescent="0.25">
      <c r="A44" s="15" t="str">
        <f>VLOOKUP("&lt;Legende_2&gt;",Uebersetzungen!$B$3:$E$200,Uebersetzungen!$B$2+1,FALSE)</f>
        <v>X: Extrapolation aufgrund von 4 oder weniger Beobachtungen. Die Resultate werden aus Gründen des Datenschutzes nicht publiziert.</v>
      </c>
    </row>
    <row r="45" spans="1:22" x14ac:dyDescent="0.25">
      <c r="A45" s="15" t="str">
        <f>VLOOKUP("&lt;Legende_3&gt;",Uebersetzungen!$B$3:$E$200,Uebersetzungen!$B$2+1,FALSE)</f>
        <v>Die Grundgesamtheit der Strukturerhebung enthält alle Personen der ständigen Wohnbevölkerung ab vollendetem 15. Altersjahr, die in Privathaushalten leben.</v>
      </c>
    </row>
    <row r="46" spans="1:22" x14ac:dyDescent="0.25">
      <c r="A46" s="15" t="str">
        <f>VLOOKUP("&lt;Legende_4&gt;",Uebersetzungen!$B$3:$E$200,Uebersetzungen!$B$2+1,FALSE)</f>
        <v>Aus der Grundgesamtheit ausgeschlossen wurden neben den Personen, die in Kollektivhaushalten leben, auch Diplomaten, internationale Funktionäre und deren Angehörige.</v>
      </c>
    </row>
    <row r="48" spans="1:22" x14ac:dyDescent="0.25">
      <c r="A48" s="1" t="str">
        <f>VLOOKUP("&lt;quelle_1&gt;",Uebersetzungen!$B$3:$E$200,Uebersetzungen!$B$2+1,FALSE)</f>
        <v>Quelle: BFS (Strukturerhebung)</v>
      </c>
    </row>
    <row r="49" spans="1:1" x14ac:dyDescent="0.25">
      <c r="A49" s="1" t="str">
        <f>VLOOKUP("&lt;aktualisierung&gt;",Uebersetzungen!$B$3:$E$200,Uebersetzungen!$B$2+1,FALSE)</f>
        <v>Letztmals aktualisiert am: 26.01.2024</v>
      </c>
    </row>
  </sheetData>
  <sheetProtection sheet="1" objects="1" scenarios="1"/>
  <mergeCells count="13">
    <mergeCell ref="A16:A41"/>
    <mergeCell ref="U13:V13"/>
    <mergeCell ref="Q13:R13"/>
    <mergeCell ref="S13:T13"/>
    <mergeCell ref="A7:B7"/>
    <mergeCell ref="K13:L13"/>
    <mergeCell ref="M13:N13"/>
    <mergeCell ref="O13:P13"/>
    <mergeCell ref="C13:D13"/>
    <mergeCell ref="E13:F13"/>
    <mergeCell ref="G13:H13"/>
    <mergeCell ref="I13:J13"/>
    <mergeCell ref="C12:V12"/>
  </mergeCells>
  <pageMargins left="0.7" right="0.7" top="0.78740157499999996" bottom="0.78740157499999996" header="0.3" footer="0.3"/>
  <pageSetup paperSize="9" orientation="portrait" r:id="rId1"/>
  <ignoredErrors>
    <ignoredError sqref="E14:G14 H14:I14 J14:K14 L14:N14 O14:Q14 T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444500</xdr:colOff>
                    <xdr:row>1</xdr:row>
                    <xdr:rowOff>114300</xdr:rowOff>
                  </from>
                  <to>
                    <xdr:col>4</xdr:col>
                    <xdr:colOff>787400</xdr:colOff>
                    <xdr:row>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444500</xdr:colOff>
                    <xdr:row>2</xdr:row>
                    <xdr:rowOff>107950</xdr:rowOff>
                  </from>
                  <to>
                    <xdr:col>5</xdr:col>
                    <xdr:colOff>349250</xdr:colOff>
                    <xdr:row>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444500</xdr:colOff>
                    <xdr:row>3</xdr:row>
                    <xdr:rowOff>76200</xdr:rowOff>
                  </from>
                  <to>
                    <xdr:col>4</xdr:col>
                    <xdr:colOff>787400</xdr:colOff>
                    <xdr:row>4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6"/>
  <sheetViews>
    <sheetView showGridLines="0" workbookViewId="0"/>
  </sheetViews>
  <sheetFormatPr baseColWidth="10" defaultColWidth="11.453125" defaultRowHeight="12.5" x14ac:dyDescent="0.25"/>
  <cols>
    <col min="1" max="1" width="26.81640625" style="40" customWidth="1"/>
    <col min="2" max="2" width="49.1796875" style="40" customWidth="1"/>
    <col min="3" max="22" width="12" style="40" customWidth="1"/>
    <col min="23" max="16384" width="11.453125" style="40"/>
  </cols>
  <sheetData>
    <row r="1" spans="1:22" s="2" customFormat="1" x14ac:dyDescent="0.25"/>
    <row r="2" spans="1:22" s="2" customFormat="1" ht="15.5" x14ac:dyDescent="0.35">
      <c r="B2" s="3"/>
      <c r="C2" s="1"/>
      <c r="D2" s="1"/>
    </row>
    <row r="3" spans="1:22" s="2" customFormat="1" ht="15.5" x14ac:dyDescent="0.35">
      <c r="B3" s="3"/>
      <c r="C3" s="1"/>
      <c r="D3" s="1"/>
    </row>
    <row r="4" spans="1:22" s="2" customFormat="1" ht="15.5" x14ac:dyDescent="0.35">
      <c r="B4" s="3"/>
      <c r="C4" s="1"/>
      <c r="D4" s="1"/>
    </row>
    <row r="5" spans="1:22" s="2" customFormat="1" x14ac:dyDescent="0.25"/>
    <row r="6" spans="1:22" s="2" customFormat="1" x14ac:dyDescent="0.25"/>
    <row r="7" spans="1:22" s="2" customFormat="1" ht="15.75" customHeight="1" x14ac:dyDescent="0.35">
      <c r="A7" s="145" t="str">
        <f>VLOOKUP("&lt;Fachbereich&gt;",Uebersetzungen!$B$3:$E$201,Uebersetzungen!$B$2+1,FALSE)</f>
        <v>Daten &amp; Statistik</v>
      </c>
      <c r="B7" s="145"/>
      <c r="C7" s="4"/>
      <c r="D7" s="4"/>
      <c r="E7" s="4"/>
      <c r="F7" s="4"/>
      <c r="G7" s="4"/>
      <c r="H7" s="4"/>
    </row>
    <row r="8" spans="1:22" s="2" customFormat="1" x14ac:dyDescent="0.25"/>
    <row r="9" spans="1:22" s="8" customFormat="1" ht="17.5" x14ac:dyDescent="0.3">
      <c r="A9" s="26" t="str">
        <f>VLOOKUP("&lt;T2Titel&gt;",Uebersetzungen!$B$3:$E$201,Uebersetzungen!$B$2+1,FALSE)</f>
        <v>Erwerbsstatus im Kanton Graubünden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22" s="8" customFormat="1" ht="14" x14ac:dyDescent="0.3">
      <c r="A10" s="27" t="str">
        <f>VLOOKUP("&lt;UTitel&gt;",Uebersetzungen!$B$3:$E$201,Uebersetzungen!$B$2+1,FALSE)</f>
        <v>Ständige schweizerische Wohnbevölkerung ab 15 Jahren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22" s="8" customFormat="1" ht="14.5" thickBot="1" x14ac:dyDescent="0.35">
      <c r="A11" s="27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22" s="8" customFormat="1" ht="18" thickBot="1" x14ac:dyDescent="0.4">
      <c r="A12" s="78"/>
      <c r="B12" s="129"/>
      <c r="C12" s="154">
        <v>2022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6"/>
    </row>
    <row r="13" spans="1:22" ht="39.75" customHeight="1" thickBot="1" x14ac:dyDescent="0.3">
      <c r="A13" s="79"/>
      <c r="B13" s="128"/>
      <c r="C13" s="146" t="str">
        <f>VLOOKUP("&lt;SpaltenTitel_1&gt;",Uebersetzungen!$B$3:$E$201,Uebersetzungen!$B$2+1,FALSE)</f>
        <v>Total</v>
      </c>
      <c r="D13" s="143"/>
      <c r="E13" s="143" t="str">
        <f>VLOOKUP("&lt;SpaltenTitel_2&gt;",Uebersetzungen!$B$3:$E$201,Uebersetzungen!$B$2+1,FALSE)</f>
        <v>Erwerbspersonen</v>
      </c>
      <c r="F13" s="143"/>
      <c r="G13" s="143" t="str">
        <f>VLOOKUP("&lt;SpaltenTitel_3&gt;",Uebersetzungen!$B$3:$E$201,Uebersetzungen!$B$2+1,FALSE)</f>
        <v>Erwerbstätige</v>
      </c>
      <c r="H13" s="143"/>
      <c r="I13" s="143" t="str">
        <f>VLOOKUP("&lt;SpaltenTitel_4&gt;",Uebersetzungen!$B$3:$E$201,Uebersetzungen!$B$2+1,FALSE)</f>
        <v>Selbständige</v>
      </c>
      <c r="J13" s="143"/>
      <c r="K13" s="143" t="str">
        <f>VLOOKUP("&lt;SpaltenTitel_5&gt;",Uebersetzungen!$B$3:$E$201,Uebersetzungen!$B$2+1,FALSE)</f>
        <v>Mitarbeitende Familienmitglieder</v>
      </c>
      <c r="L13" s="143"/>
      <c r="M13" s="143" t="str">
        <f>VLOOKUP("&lt;SpaltenTitel_6&gt;",Uebersetzungen!$B$3:$E$201,Uebersetzungen!$B$2+1,FALSE)</f>
        <v>Firmeneigentümer/-innen (AG oder GmbH)</v>
      </c>
      <c r="N13" s="143"/>
      <c r="O13" s="143" t="str">
        <f>VLOOKUP("&lt;SpaltenTitel_7&gt;",Uebersetzungen!$B$3:$E$201,Uebersetzungen!$B$2+1,FALSE)</f>
        <v>Angestellte</v>
      </c>
      <c r="P13" s="143"/>
      <c r="Q13" s="143" t="str">
        <f>VLOOKUP("&lt;SpaltenTitel_8&gt;",Uebersetzungen!$B$3:$E$201,Uebersetzungen!$B$2+1,FALSE)</f>
        <v>Lernende in der dualen beruflichen Grundbildung</v>
      </c>
      <c r="R13" s="143"/>
      <c r="S13" s="143" t="str">
        <f>VLOOKUP("&lt;SpaltenTitel_9&gt;",Uebersetzungen!$B$3:$E$201,Uebersetzungen!$B$2+1,FALSE)</f>
        <v>Erwerbslose</v>
      </c>
      <c r="T13" s="143"/>
      <c r="U13" s="143" t="str">
        <f>VLOOKUP("&lt;SpaltenTitel_10&gt;",Uebersetzungen!$B$3:$E$201,Uebersetzungen!$B$2+1,FALSE)</f>
        <v>Nichterwerbspersonen</v>
      </c>
      <c r="V13" s="144"/>
    </row>
    <row r="14" spans="1:22" ht="38.25" customHeight="1" thickBot="1" x14ac:dyDescent="0.3">
      <c r="A14" s="92"/>
      <c r="B14" s="92"/>
      <c r="C14" s="137" t="str">
        <f>VLOOKUP("&lt;SpaltenTitel_1.1&gt;",Uebersetzungen!$B$3:$E$201,Uebersetzungen!$B$2+1,FALSE)</f>
        <v>Anzahl Personen</v>
      </c>
      <c r="D14" s="138" t="str">
        <f>VLOOKUP("&lt;SpaltenTitel_1.2&gt;",Uebersetzungen!$B$3:$E$201,Uebersetzungen!$B$2+1,FALSE)</f>
        <v>Vertrauens- intervall:          ± (in %)</v>
      </c>
      <c r="E14" s="139" t="str">
        <f>VLOOKUP("&lt;SpaltenTitel_1.1&gt;",Uebersetzungen!$B$3:$E$201,Uebersetzungen!$B$2+1,FALSE)</f>
        <v>Anzahl Personen</v>
      </c>
      <c r="F14" s="138" t="str">
        <f>VLOOKUP("&lt;SpaltenTitel_1.2&gt;",Uebersetzungen!$B$3:$E$201,Uebersetzungen!$B$2+1,FALSE)</f>
        <v>Vertrauens- intervall:          ± (in %)</v>
      </c>
      <c r="G14" s="139" t="str">
        <f>VLOOKUP("&lt;SpaltenTitel_1.1&gt;",Uebersetzungen!$B$3:$E$201,Uebersetzungen!$B$2+1,FALSE)</f>
        <v>Anzahl Personen</v>
      </c>
      <c r="H14" s="138" t="str">
        <f>VLOOKUP("&lt;SpaltenTitel_1.2&gt;",Uebersetzungen!$B$3:$E$201,Uebersetzungen!$B$2+1,FALSE)</f>
        <v>Vertrauens- intervall:          ± (in %)</v>
      </c>
      <c r="I14" s="139" t="str">
        <f>VLOOKUP("&lt;SpaltenTitel_1.1&gt;",Uebersetzungen!$B$3:$E$201,Uebersetzungen!$B$2+1,FALSE)</f>
        <v>Anzahl Personen</v>
      </c>
      <c r="J14" s="138" t="str">
        <f>VLOOKUP("&lt;SpaltenTitel_1.2&gt;",Uebersetzungen!$B$3:$E$201,Uebersetzungen!$B$2+1,FALSE)</f>
        <v>Vertrauens- intervall:          ± (in %)</v>
      </c>
      <c r="K14" s="139" t="str">
        <f>VLOOKUP("&lt;SpaltenTitel_1.1&gt;",Uebersetzungen!$B$3:$E$201,Uebersetzungen!$B$2+1,FALSE)</f>
        <v>Anzahl Personen</v>
      </c>
      <c r="L14" s="138" t="str">
        <f>VLOOKUP("&lt;SpaltenTitel_1.2&gt;",Uebersetzungen!$B$3:$E$201,Uebersetzungen!$B$2+1,FALSE)</f>
        <v>Vertrauens- intervall:          ± (in %)</v>
      </c>
      <c r="M14" s="139" t="str">
        <f>VLOOKUP("&lt;SpaltenTitel_1.1&gt;",Uebersetzungen!$B$3:$E$201,Uebersetzungen!$B$2+1,FALSE)</f>
        <v>Anzahl Personen</v>
      </c>
      <c r="N14" s="138" t="str">
        <f>VLOOKUP("&lt;SpaltenTitel_1.2&gt;",Uebersetzungen!$B$3:$E$201,Uebersetzungen!$B$2+1,FALSE)</f>
        <v>Vertrauens- intervall:          ± (in %)</v>
      </c>
      <c r="O14" s="139" t="str">
        <f>VLOOKUP("&lt;SpaltenTitel_1.1&gt;",Uebersetzungen!$B$3:$E$201,Uebersetzungen!$B$2+1,FALSE)</f>
        <v>Anzahl Personen</v>
      </c>
      <c r="P14" s="138" t="str">
        <f>VLOOKUP("&lt;SpaltenTitel_1.2&gt;",Uebersetzungen!$B$3:$E$201,Uebersetzungen!$B$2+1,FALSE)</f>
        <v>Vertrauens- intervall:          ± (in %)</v>
      </c>
      <c r="Q14" s="139" t="str">
        <f>VLOOKUP("&lt;SpaltenTitel_1.1&gt;",Uebersetzungen!$B$3:$E$201,Uebersetzungen!$B$2+1,FALSE)</f>
        <v>Anzahl Personen</v>
      </c>
      <c r="R14" s="138" t="str">
        <f>VLOOKUP("&lt;SpaltenTitel_1.2&gt;",Uebersetzungen!$B$3:$E$201,Uebersetzungen!$B$2+1,FALSE)</f>
        <v>Vertrauens- intervall:          ± (in %)</v>
      </c>
      <c r="S14" s="139" t="str">
        <f>VLOOKUP("&lt;SpaltenTitel_1.1&gt;",Uebersetzungen!$B$3:$E$201,Uebersetzungen!$B$2+1,FALSE)</f>
        <v>Anzahl Personen</v>
      </c>
      <c r="T14" s="138" t="str">
        <f>VLOOKUP("&lt;SpaltenTitel_1.2&gt;",Uebersetzungen!$B$3:$E$201,Uebersetzungen!$B$2+1,FALSE)</f>
        <v>Vertrauens- intervall:          ± (in %)</v>
      </c>
      <c r="U14" s="139" t="str">
        <f>VLOOKUP("&lt;SpaltenTitel_1.1&gt;",Uebersetzungen!$B$3:$E$201,Uebersetzungen!$B$2+1,FALSE)</f>
        <v>Anzahl Personen</v>
      </c>
      <c r="V14" s="140" t="str">
        <f>VLOOKUP("&lt;SpaltenTitel_1.2&gt;",Uebersetzungen!$B$3:$E$201,Uebersetzungen!$B$2+1,FALSE)</f>
        <v>Vertrauens- intervall:          ± (in %)</v>
      </c>
    </row>
    <row r="15" spans="1:22" ht="13" x14ac:dyDescent="0.25">
      <c r="A15" s="157" t="str">
        <f>VLOOKUP("&lt;T2Zeilentitel_1&gt;",Uebersetzungen!$B$3:$E$200,Uebersetzungen!$B$2+1,FALSE)</f>
        <v>Total</v>
      </c>
      <c r="B15" s="158"/>
      <c r="C15" s="130">
        <v>172987.00000000143</v>
      </c>
      <c r="D15" s="57">
        <v>0.30992133630707747</v>
      </c>
      <c r="E15" s="131">
        <v>109790.1875684976</v>
      </c>
      <c r="F15" s="59">
        <v>2.1802218470485153</v>
      </c>
      <c r="G15" s="131">
        <v>107516.6050339214</v>
      </c>
      <c r="H15" s="57">
        <v>2.232961122009395</v>
      </c>
      <c r="I15" s="132">
        <v>9296.2938990148104</v>
      </c>
      <c r="J15" s="57">
        <v>11.714345699928614</v>
      </c>
      <c r="K15" s="131">
        <v>4880.1010036287098</v>
      </c>
      <c r="L15" s="59">
        <v>16.648303180382364</v>
      </c>
      <c r="M15" s="131">
        <v>7455.3895184435351</v>
      </c>
      <c r="N15" s="57">
        <v>13.11601606448145</v>
      </c>
      <c r="O15" s="132">
        <v>82683.288440694829</v>
      </c>
      <c r="P15" s="57">
        <v>2.961131900515463</v>
      </c>
      <c r="Q15" s="131">
        <v>3201.5321721395994</v>
      </c>
      <c r="R15" s="59">
        <v>20.317967540486357</v>
      </c>
      <c r="S15" s="131">
        <v>2273.5825345761564</v>
      </c>
      <c r="T15" s="57">
        <v>25.546793337573483</v>
      </c>
      <c r="U15" s="131">
        <v>63196.812431503749</v>
      </c>
      <c r="V15" s="81">
        <v>3.5749644565401417</v>
      </c>
    </row>
    <row r="16" spans="1:22" x14ac:dyDescent="0.25">
      <c r="A16" s="159" t="str">
        <f>VLOOKUP("&lt;T2Zeilentitel_2&gt;",Uebersetzungen!$B$3:$E$200,Uebersetzungen!$B$2+1,FALSE)</f>
        <v>Geschlecht</v>
      </c>
      <c r="B16" s="44" t="str">
        <f>VLOOKUP("&lt;T2Zeilentitel_2.1&gt;",Uebersetzungen!$B$3:$E$200,Uebersetzungen!$B$2+1,FALSE)</f>
        <v>Männer</v>
      </c>
      <c r="C16" s="93">
        <v>86763.000000001426</v>
      </c>
      <c r="D16" s="42">
        <v>2.8238600372240663</v>
      </c>
      <c r="E16" s="94">
        <v>59196.401194325197</v>
      </c>
      <c r="F16" s="43">
        <v>3.9618294921942363</v>
      </c>
      <c r="G16" s="94">
        <v>57842.104227609132</v>
      </c>
      <c r="H16" s="42">
        <v>4.0209828631228257</v>
      </c>
      <c r="I16" s="95">
        <v>5675.0517851033119</v>
      </c>
      <c r="J16" s="42">
        <v>15.188349326016404</v>
      </c>
      <c r="K16" s="94">
        <v>2363.8580543272369</v>
      </c>
      <c r="L16" s="43">
        <v>24.169212655814061</v>
      </c>
      <c r="M16" s="94">
        <v>5808.2598550599996</v>
      </c>
      <c r="N16" s="42">
        <v>15.017583097955404</v>
      </c>
      <c r="O16" s="95">
        <v>42167.219918699884</v>
      </c>
      <c r="P16" s="42">
        <v>5.0129101089102024</v>
      </c>
      <c r="Q16" s="96">
        <v>1827.7146144188102</v>
      </c>
      <c r="R16" s="97">
        <v>27.11398780303994</v>
      </c>
      <c r="S16" s="96">
        <v>1354.2969667160307</v>
      </c>
      <c r="T16" s="98">
        <v>33.827179902843987</v>
      </c>
      <c r="U16" s="94">
        <v>27566.598805676156</v>
      </c>
      <c r="V16" s="80">
        <v>6.265334526443322</v>
      </c>
    </row>
    <row r="17" spans="1:22" x14ac:dyDescent="0.25">
      <c r="A17" s="160"/>
      <c r="B17" s="53" t="str">
        <f>VLOOKUP("&lt;T2Zeilentitel_2.2&gt;",Uebersetzungen!$B$3:$E$200,Uebersetzungen!$B$2+1,FALSE)</f>
        <v>Frauen</v>
      </c>
      <c r="C17" s="56">
        <v>86223.999999999971</v>
      </c>
      <c r="D17" s="57">
        <v>2.7581960888754851</v>
      </c>
      <c r="E17" s="58">
        <v>50593.7863741724</v>
      </c>
      <c r="F17" s="59">
        <v>4.3221481684777334</v>
      </c>
      <c r="G17" s="58">
        <v>49674.500806312266</v>
      </c>
      <c r="H17" s="57">
        <v>4.3744449704502717</v>
      </c>
      <c r="I17" s="60">
        <v>3621.2421139114981</v>
      </c>
      <c r="J17" s="57">
        <v>19.016306663143762</v>
      </c>
      <c r="K17" s="58">
        <v>2516.2429493014733</v>
      </c>
      <c r="L17" s="59">
        <v>23.265395547837748</v>
      </c>
      <c r="M17" s="58">
        <v>1647.1296633835359</v>
      </c>
      <c r="N17" s="57">
        <v>27.8146164225377</v>
      </c>
      <c r="O17" s="60">
        <v>40516.068521994952</v>
      </c>
      <c r="P17" s="57">
        <v>5.0117446163043464</v>
      </c>
      <c r="Q17" s="61">
        <v>1373.8175577207894</v>
      </c>
      <c r="R17" s="62">
        <v>30.998837180326706</v>
      </c>
      <c r="S17" s="61">
        <v>919.28556786012564</v>
      </c>
      <c r="T17" s="63">
        <v>39.127372611009321</v>
      </c>
      <c r="U17" s="58">
        <v>35630.213625827593</v>
      </c>
      <c r="V17" s="99">
        <v>5.3356769163069355</v>
      </c>
    </row>
    <row r="18" spans="1:22" x14ac:dyDescent="0.25">
      <c r="A18" s="150" t="str">
        <f>VLOOKUP("&lt;T2Zeilentitel_3&gt;",Uebersetzungen!$B$3:$E$200,Uebersetzungen!$B$2+1,FALSE)</f>
        <v>Alter</v>
      </c>
      <c r="B18" s="44" t="str">
        <f>VLOOKUP("&lt;T2Zeilentitel_3.1&gt;",Uebersetzungen!$B$3:$E$200,Uebersetzungen!$B$2+1,FALSE)</f>
        <v>15-24</v>
      </c>
      <c r="C18" s="93">
        <v>18891.000000000182</v>
      </c>
      <c r="D18" s="42">
        <v>8.1326481053992321</v>
      </c>
      <c r="E18" s="94">
        <v>10069.268886305763</v>
      </c>
      <c r="F18" s="43">
        <v>11.555873346137989</v>
      </c>
      <c r="G18" s="94">
        <v>9667.7748313238117</v>
      </c>
      <c r="H18" s="42">
        <v>11.78626097906268</v>
      </c>
      <c r="I18" s="95" t="s">
        <v>333</v>
      </c>
      <c r="J18" s="42" t="s">
        <v>333</v>
      </c>
      <c r="K18" s="96">
        <v>588.56010937908161</v>
      </c>
      <c r="L18" s="97">
        <v>50.574360978023606</v>
      </c>
      <c r="M18" s="94">
        <v>226.3696483994176</v>
      </c>
      <c r="N18" s="42">
        <v>87.215745406426478</v>
      </c>
      <c r="O18" s="95">
        <v>5894.2839590784888</v>
      </c>
      <c r="P18" s="42">
        <v>15.377505725939629</v>
      </c>
      <c r="Q18" s="94">
        <v>2873.5676115824444</v>
      </c>
      <c r="R18" s="43">
        <v>21.277077851370191</v>
      </c>
      <c r="S18" s="96">
        <v>401.49405498194881</v>
      </c>
      <c r="T18" s="98">
        <v>61.745323896628051</v>
      </c>
      <c r="U18" s="94">
        <v>8821.7311136944227</v>
      </c>
      <c r="V18" s="80">
        <v>12.110642721457761</v>
      </c>
    </row>
    <row r="19" spans="1:22" x14ac:dyDescent="0.25">
      <c r="A19" s="151"/>
      <c r="B19" s="54" t="str">
        <f>VLOOKUP("&lt;T2Zeilentitel_3.2&gt;",Uebersetzungen!$B$3:$E$200,Uebersetzungen!$B$2+1,FALSE)</f>
        <v>25-44</v>
      </c>
      <c r="C19" s="45">
        <v>50864.000000000364</v>
      </c>
      <c r="D19" s="46">
        <v>4.4311277725070468</v>
      </c>
      <c r="E19" s="47">
        <v>45901.198232712173</v>
      </c>
      <c r="F19" s="48">
        <v>4.7340871876341941</v>
      </c>
      <c r="G19" s="47">
        <v>44851.960709565974</v>
      </c>
      <c r="H19" s="46">
        <v>4.7992897179590832</v>
      </c>
      <c r="I19" s="49">
        <v>2806.1957215514985</v>
      </c>
      <c r="J19" s="46">
        <v>22.116642324359944</v>
      </c>
      <c r="K19" s="47">
        <v>2134.7222382575601</v>
      </c>
      <c r="L19" s="48">
        <v>25.600473312651232</v>
      </c>
      <c r="M19" s="47">
        <v>2753.0728063042811</v>
      </c>
      <c r="N19" s="46">
        <v>22.113563847100508</v>
      </c>
      <c r="O19" s="49">
        <v>36865.807967252564</v>
      </c>
      <c r="P19" s="46">
        <v>5.4344549765850818</v>
      </c>
      <c r="Q19" s="47">
        <v>292.16197620007131</v>
      </c>
      <c r="R19" s="48">
        <v>73.388307861160229</v>
      </c>
      <c r="S19" s="50">
        <v>1049.2375231462099</v>
      </c>
      <c r="T19" s="52">
        <v>38.110078154313051</v>
      </c>
      <c r="U19" s="47">
        <v>4962.8017672881833</v>
      </c>
      <c r="V19" s="81">
        <v>16.908548833584224</v>
      </c>
    </row>
    <row r="20" spans="1:22" x14ac:dyDescent="0.25">
      <c r="A20" s="151"/>
      <c r="B20" s="54" t="str">
        <f>VLOOKUP("&lt;T2Zeilentitel_3.3&gt;",Uebersetzungen!$B$3:$E$200,Uebersetzungen!$B$2+1,FALSE)</f>
        <v>45-64</v>
      </c>
      <c r="C20" s="45">
        <v>59080.000000000291</v>
      </c>
      <c r="D20" s="46">
        <v>3.8848078343530617</v>
      </c>
      <c r="E20" s="47">
        <v>50282.688359203064</v>
      </c>
      <c r="F20" s="48">
        <v>4.350026246455414</v>
      </c>
      <c r="G20" s="47">
        <v>49459.837402755053</v>
      </c>
      <c r="H20" s="46">
        <v>4.39615730160462</v>
      </c>
      <c r="I20" s="49">
        <v>5163.6442835500629</v>
      </c>
      <c r="J20" s="46">
        <v>15.904766325436594</v>
      </c>
      <c r="K20" s="47">
        <v>1805.3996683276316</v>
      </c>
      <c r="L20" s="48">
        <v>27.290406168225672</v>
      </c>
      <c r="M20" s="47">
        <v>3699.9873048428508</v>
      </c>
      <c r="N20" s="46">
        <v>18.697455516964673</v>
      </c>
      <c r="O20" s="49">
        <v>38755.003561677477</v>
      </c>
      <c r="P20" s="46">
        <v>5.1681421189536954</v>
      </c>
      <c r="Q20" s="47" t="s">
        <v>333</v>
      </c>
      <c r="R20" s="48" t="s">
        <v>333</v>
      </c>
      <c r="S20" s="50">
        <v>822.85095644799753</v>
      </c>
      <c r="T20" s="52">
        <v>41.828973365724011</v>
      </c>
      <c r="U20" s="47">
        <v>8797.3116407971829</v>
      </c>
      <c r="V20" s="81">
        <v>12.220289795683172</v>
      </c>
    </row>
    <row r="21" spans="1:22" x14ac:dyDescent="0.25">
      <c r="A21" s="152"/>
      <c r="B21" s="53" t="str">
        <f>VLOOKUP("&lt;T2Zeilentitel_3.4&gt;",Uebersetzungen!$B$3:$E$200,Uebersetzungen!$B$2+1,FALSE)</f>
        <v>65 und mehr</v>
      </c>
      <c r="C21" s="56">
        <v>44152.000000000509</v>
      </c>
      <c r="D21" s="57">
        <v>4.5017942121198438</v>
      </c>
      <c r="E21" s="58">
        <v>3537.0320902765839</v>
      </c>
      <c r="F21" s="59">
        <v>18.346560168031488</v>
      </c>
      <c r="G21" s="58">
        <v>3537.0320902765839</v>
      </c>
      <c r="H21" s="57">
        <v>18.346560168031488</v>
      </c>
      <c r="I21" s="102">
        <v>1241.4603910288731</v>
      </c>
      <c r="J21" s="63">
        <v>31.303544893667514</v>
      </c>
      <c r="K21" s="61">
        <v>351.41898766443876</v>
      </c>
      <c r="L21" s="62">
        <v>58.224877486334904</v>
      </c>
      <c r="M21" s="61">
        <v>775.95975889698582</v>
      </c>
      <c r="N21" s="63">
        <v>39.419389065331423</v>
      </c>
      <c r="O21" s="102">
        <v>1168.1929526862884</v>
      </c>
      <c r="P21" s="63">
        <v>32.188685525001553</v>
      </c>
      <c r="Q21" s="58" t="s">
        <v>333</v>
      </c>
      <c r="R21" s="59" t="s">
        <v>333</v>
      </c>
      <c r="S21" s="58" t="s">
        <v>333</v>
      </c>
      <c r="T21" s="57" t="s">
        <v>333</v>
      </c>
      <c r="U21" s="58">
        <v>40614.96790972392</v>
      </c>
      <c r="V21" s="99">
        <v>4.7666166859811421</v>
      </c>
    </row>
    <row r="22" spans="1:22" x14ac:dyDescent="0.25">
      <c r="A22" s="151" t="str">
        <f>VLOOKUP("&lt;T2Zeilentitel_4&gt;",Uebersetzungen!$B$3:$E$200,Uebersetzungen!$B$2+1,FALSE)</f>
        <v>Staatsangehörigkeit</v>
      </c>
      <c r="B22" s="29" t="str">
        <f>VLOOKUP("&lt;T2Zeilentitel_4.1&gt;",Uebersetzungen!$B$3:$E$200,Uebersetzungen!$B$2+1,FALSE)</f>
        <v>Schweiz</v>
      </c>
      <c r="C22" s="45">
        <v>139204.00000000081</v>
      </c>
      <c r="D22" s="46">
        <v>1.2994587979742214</v>
      </c>
      <c r="E22" s="47">
        <v>83733.634501931549</v>
      </c>
      <c r="F22" s="48">
        <v>2.8457921431631368</v>
      </c>
      <c r="G22" s="47">
        <v>82533.454274684555</v>
      </c>
      <c r="H22" s="46">
        <v>2.8833812738239377</v>
      </c>
      <c r="I22" s="49">
        <v>8015.5301237014874</v>
      </c>
      <c r="J22" s="46">
        <v>12.597677504358158</v>
      </c>
      <c r="K22" s="47">
        <v>3743.4521789517462</v>
      </c>
      <c r="L22" s="48">
        <v>18.7165392685726</v>
      </c>
      <c r="M22" s="47">
        <v>5961.2269215775914</v>
      </c>
      <c r="N22" s="46">
        <v>14.562754838986358</v>
      </c>
      <c r="O22" s="49">
        <v>62127.045206385133</v>
      </c>
      <c r="P22" s="46">
        <v>3.6734169479177385</v>
      </c>
      <c r="Q22" s="47">
        <v>2686.1998440687576</v>
      </c>
      <c r="R22" s="48">
        <v>21.779393839303509</v>
      </c>
      <c r="S22" s="50">
        <v>1200.1802272469922</v>
      </c>
      <c r="T22" s="52">
        <v>33.894030002837404</v>
      </c>
      <c r="U22" s="47">
        <v>55470.365498069114</v>
      </c>
      <c r="V22" s="81">
        <v>3.8891554301733637</v>
      </c>
    </row>
    <row r="23" spans="1:22" x14ac:dyDescent="0.25">
      <c r="A23" s="151"/>
      <c r="B23" s="29" t="str">
        <f>VLOOKUP("&lt;T2Zeilentitel_4.2&gt;",Uebersetzungen!$B$3:$E$200,Uebersetzungen!$B$2+1,FALSE)</f>
        <v>EU28 und EFTA</v>
      </c>
      <c r="C23" s="45">
        <v>27064.983765801466</v>
      </c>
      <c r="D23" s="46">
        <v>6.8207002529804264</v>
      </c>
      <c r="E23" s="47">
        <v>21239.259026642958</v>
      </c>
      <c r="F23" s="48">
        <v>7.8509669743980419</v>
      </c>
      <c r="G23" s="47">
        <v>20642.615116507011</v>
      </c>
      <c r="H23" s="46">
        <v>7.9649983048377582</v>
      </c>
      <c r="I23" s="55">
        <v>1002.9376613690085</v>
      </c>
      <c r="J23" s="52">
        <v>37.393276043412939</v>
      </c>
      <c r="K23" s="50">
        <v>784.58871122355413</v>
      </c>
      <c r="L23" s="51">
        <v>43.321220711788278</v>
      </c>
      <c r="M23" s="50">
        <v>1116.281787624931</v>
      </c>
      <c r="N23" s="52">
        <v>35.374439845580284</v>
      </c>
      <c r="O23" s="49">
        <v>17398.136799985241</v>
      </c>
      <c r="P23" s="46">
        <v>8.7702274763960144</v>
      </c>
      <c r="Q23" s="50">
        <v>340.67015630427824</v>
      </c>
      <c r="R23" s="51">
        <v>68.548493067497134</v>
      </c>
      <c r="S23" s="50">
        <v>596.64391013595343</v>
      </c>
      <c r="T23" s="52">
        <v>51.901511327899698</v>
      </c>
      <c r="U23" s="47">
        <v>5825.7247391584988</v>
      </c>
      <c r="V23" s="81">
        <v>15.499750279455307</v>
      </c>
    </row>
    <row r="24" spans="1:22" x14ac:dyDescent="0.25">
      <c r="A24" s="151"/>
      <c r="B24" s="29" t="str">
        <f>VLOOKUP("&lt;T2Zeilentitel_4.3&gt;",Uebersetzungen!$B$3:$E$200,Uebersetzungen!$B$2+1,FALSE)</f>
        <v>Andere europäische Staaten</v>
      </c>
      <c r="C24" s="45">
        <v>3125.918260586051</v>
      </c>
      <c r="D24" s="46">
        <v>22.433578658784249</v>
      </c>
      <c r="E24" s="47">
        <v>2187.6673990598833</v>
      </c>
      <c r="F24" s="48">
        <v>27.061085827176576</v>
      </c>
      <c r="G24" s="50">
        <v>2042.9742457890352</v>
      </c>
      <c r="H24" s="52">
        <v>27.883151269538786</v>
      </c>
      <c r="I24" s="49">
        <v>189.60857811792638</v>
      </c>
      <c r="J24" s="46">
        <v>86.685254231768184</v>
      </c>
      <c r="K24" s="47">
        <v>242.24037430874631</v>
      </c>
      <c r="L24" s="48">
        <v>88.067422210456982</v>
      </c>
      <c r="M24" s="47" t="s">
        <v>333</v>
      </c>
      <c r="N24" s="46" t="s">
        <v>333</v>
      </c>
      <c r="O24" s="55">
        <v>1486.3764070298887</v>
      </c>
      <c r="P24" s="52">
        <v>32.543219616427365</v>
      </c>
      <c r="Q24" s="47" t="s">
        <v>333</v>
      </c>
      <c r="R24" s="48" t="s">
        <v>333</v>
      </c>
      <c r="S24" s="50" t="s">
        <v>333</v>
      </c>
      <c r="T24" s="52" t="s">
        <v>333</v>
      </c>
      <c r="U24" s="50">
        <v>938.25086152616768</v>
      </c>
      <c r="V24" s="82">
        <v>40.501911834872807</v>
      </c>
    </row>
    <row r="25" spans="1:22" x14ac:dyDescent="0.25">
      <c r="A25" s="151"/>
      <c r="B25" s="29" t="str">
        <f>VLOOKUP("&lt;T2Zeilentitel_4.4&gt;",Uebersetzungen!$B$3:$E$200,Uebersetzungen!$B$2+1,FALSE)</f>
        <v>Andere Staaten</v>
      </c>
      <c r="C25" s="45">
        <v>3592.0979736129129</v>
      </c>
      <c r="D25" s="46">
        <v>20.785204303073471</v>
      </c>
      <c r="E25" s="47">
        <v>2629.6266408630327</v>
      </c>
      <c r="F25" s="48">
        <v>24.086911612704139</v>
      </c>
      <c r="G25" s="47">
        <v>2297.56139694067</v>
      </c>
      <c r="H25" s="46">
        <v>25.761238859116101</v>
      </c>
      <c r="I25" s="49" t="s">
        <v>333</v>
      </c>
      <c r="J25" s="46" t="s">
        <v>333</v>
      </c>
      <c r="K25" s="47" t="s">
        <v>333</v>
      </c>
      <c r="L25" s="48" t="s">
        <v>333</v>
      </c>
      <c r="M25" s="47">
        <v>295.34000459199598</v>
      </c>
      <c r="N25" s="46">
        <v>74.254653408485296</v>
      </c>
      <c r="O25" s="49">
        <v>1671.7300272945147</v>
      </c>
      <c r="P25" s="46">
        <v>30.052173393345285</v>
      </c>
      <c r="Q25" s="47" t="s">
        <v>333</v>
      </c>
      <c r="R25" s="48" t="s">
        <v>333</v>
      </c>
      <c r="S25" s="50">
        <v>332.06524392236253</v>
      </c>
      <c r="T25" s="52">
        <v>68.690070048397061</v>
      </c>
      <c r="U25" s="50">
        <v>962.4713327498805</v>
      </c>
      <c r="V25" s="82">
        <v>41.573382876152181</v>
      </c>
    </row>
    <row r="26" spans="1:22" x14ac:dyDescent="0.25">
      <c r="A26" s="152"/>
      <c r="B26" s="30" t="str">
        <f>VLOOKUP("&lt;T2Zeilentitel_4.5&gt;",Uebersetzungen!$B$3:$E$200,Uebersetzungen!$B$2+1,FALSE)</f>
        <v>Staatsangehörigkeit unbekannt</v>
      </c>
      <c r="C26" s="56" t="s">
        <v>333</v>
      </c>
      <c r="D26" s="57" t="s">
        <v>333</v>
      </c>
      <c r="E26" s="58" t="s">
        <v>333</v>
      </c>
      <c r="F26" s="59" t="s">
        <v>333</v>
      </c>
      <c r="G26" s="58" t="s">
        <v>333</v>
      </c>
      <c r="H26" s="57" t="s">
        <v>333</v>
      </c>
      <c r="I26" s="60" t="s">
        <v>333</v>
      </c>
      <c r="J26" s="57" t="s">
        <v>333</v>
      </c>
      <c r="K26" s="58" t="s">
        <v>333</v>
      </c>
      <c r="L26" s="59" t="s">
        <v>333</v>
      </c>
      <c r="M26" s="58" t="s">
        <v>333</v>
      </c>
      <c r="N26" s="57" t="s">
        <v>333</v>
      </c>
      <c r="O26" s="60" t="s">
        <v>333</v>
      </c>
      <c r="P26" s="57" t="s">
        <v>333</v>
      </c>
      <c r="Q26" s="58" t="s">
        <v>333</v>
      </c>
      <c r="R26" s="59" t="s">
        <v>333</v>
      </c>
      <c r="S26" s="58" t="s">
        <v>333</v>
      </c>
      <c r="T26" s="57" t="s">
        <v>333</v>
      </c>
      <c r="U26" s="58" t="s">
        <v>333</v>
      </c>
      <c r="V26" s="99" t="s">
        <v>333</v>
      </c>
    </row>
    <row r="27" spans="1:22" x14ac:dyDescent="0.25">
      <c r="A27" s="150" t="str">
        <f>VLOOKUP("&lt;T2Zeilentitel_5&gt;",Uebersetzungen!$B$3:$E$200,Uebersetzungen!$B$2+1,FALSE)</f>
        <v>Migrationsstatus</v>
      </c>
      <c r="B27" s="44" t="str">
        <f>VLOOKUP("&lt;T2Zeilentitel_5.1&gt;",Uebersetzungen!$B$3:$E$200,Uebersetzungen!$B$2+1,FALSE)</f>
        <v>Schweizer/innen ohne Migrationshintergrund</v>
      </c>
      <c r="C27" s="93">
        <v>122616.61450815987</v>
      </c>
      <c r="D27" s="42">
        <v>1.7145052831186445</v>
      </c>
      <c r="E27" s="94">
        <v>73731.795003449282</v>
      </c>
      <c r="F27" s="43">
        <v>3.197248670768154</v>
      </c>
      <c r="G27" s="94">
        <v>72667.127643279033</v>
      </c>
      <c r="H27" s="42">
        <v>3.2354314805134106</v>
      </c>
      <c r="I27" s="95">
        <v>7271.7519442789408</v>
      </c>
      <c r="J27" s="42">
        <v>13.256270503901757</v>
      </c>
      <c r="K27" s="94">
        <v>3321.1298996568676</v>
      </c>
      <c r="L27" s="43">
        <v>19.91689728604981</v>
      </c>
      <c r="M27" s="94">
        <v>5435.3858158274288</v>
      </c>
      <c r="N27" s="42">
        <v>15.270146163015578</v>
      </c>
      <c r="O27" s="95">
        <v>54218.971752005367</v>
      </c>
      <c r="P27" s="42">
        <v>4.0682611612837611</v>
      </c>
      <c r="Q27" s="94">
        <v>2419.8882315105893</v>
      </c>
      <c r="R27" s="43">
        <v>23.01394477738625</v>
      </c>
      <c r="S27" s="96">
        <v>1064.6673601702664</v>
      </c>
      <c r="T27" s="98">
        <v>36.040230266550807</v>
      </c>
      <c r="U27" s="94">
        <v>48884.819504710402</v>
      </c>
      <c r="V27" s="80">
        <v>4.2620537797521854</v>
      </c>
    </row>
    <row r="28" spans="1:22" x14ac:dyDescent="0.25">
      <c r="A28" s="151"/>
      <c r="B28" s="29" t="str">
        <f>VLOOKUP("&lt;T2Zeilentitel_5.2&gt;",Uebersetzungen!$B$3:$E$200,Uebersetzungen!$B$2+1,FALSE)</f>
        <v>Schweizer/innen mit Migrationshintergrund</v>
      </c>
      <c r="C28" s="45">
        <v>15629.54625056087</v>
      </c>
      <c r="D28" s="46">
        <v>8.679157970955611</v>
      </c>
      <c r="E28" s="47">
        <v>9311.84026506173</v>
      </c>
      <c r="F28" s="48">
        <v>11.556675806870738</v>
      </c>
      <c r="G28" s="47">
        <v>9176.3273979850055</v>
      </c>
      <c r="H28" s="46">
        <v>11.6431167836183</v>
      </c>
      <c r="I28" s="55">
        <v>706.80517187084388</v>
      </c>
      <c r="J28" s="52">
        <v>43.278257844355664</v>
      </c>
      <c r="K28" s="50">
        <v>384.04768174647342</v>
      </c>
      <c r="L28" s="51">
        <v>58.25409779848755</v>
      </c>
      <c r="M28" s="50">
        <v>525.84110575016189</v>
      </c>
      <c r="N28" s="52">
        <v>49.986231015804151</v>
      </c>
      <c r="O28" s="49">
        <v>7293.3218260593585</v>
      </c>
      <c r="P28" s="46">
        <v>13.1406037333456</v>
      </c>
      <c r="Q28" s="50">
        <v>266.31161255816789</v>
      </c>
      <c r="R28" s="51">
        <v>68.314572186975838</v>
      </c>
      <c r="S28" s="50" t="s">
        <v>333</v>
      </c>
      <c r="T28" s="52" t="s">
        <v>333</v>
      </c>
      <c r="U28" s="47">
        <v>6317.7059854991394</v>
      </c>
      <c r="V28" s="81">
        <v>13.902766827153119</v>
      </c>
    </row>
    <row r="29" spans="1:22" x14ac:dyDescent="0.25">
      <c r="A29" s="151"/>
      <c r="B29" s="29" t="str">
        <f>VLOOKUP("&lt;T2Zeilentitel_5.3&gt;",Uebersetzungen!$B$3:$E$200,Uebersetzungen!$B$2+1,FALSE)</f>
        <v>Ausländer/innen der ersten Generation</v>
      </c>
      <c r="C29" s="45">
        <v>31359.402603251572</v>
      </c>
      <c r="D29" s="46">
        <v>6.3087876246097867</v>
      </c>
      <c r="E29" s="47">
        <v>24553.427957750573</v>
      </c>
      <c r="F29" s="48">
        <v>7.2810990295482707</v>
      </c>
      <c r="G29" s="47">
        <v>23572.407097970074</v>
      </c>
      <c r="H29" s="46">
        <v>7.4371018200852976</v>
      </c>
      <c r="I29" s="55">
        <v>1237.4909645537339</v>
      </c>
      <c r="J29" s="52">
        <v>33.802869870570525</v>
      </c>
      <c r="K29" s="50">
        <v>1136.6488246769654</v>
      </c>
      <c r="L29" s="51">
        <v>36.87169265405106</v>
      </c>
      <c r="M29" s="50">
        <v>1446.7232859698825</v>
      </c>
      <c r="N29" s="52">
        <v>31.509489955932594</v>
      </c>
      <c r="O29" s="49">
        <v>19363.009961300027</v>
      </c>
      <c r="P29" s="46">
        <v>8.3041761318123744</v>
      </c>
      <c r="Q29" s="50">
        <v>388.53406146946935</v>
      </c>
      <c r="R29" s="51">
        <v>64.592679412181042</v>
      </c>
      <c r="S29" s="50">
        <v>981.02085978050036</v>
      </c>
      <c r="T29" s="52">
        <v>40.500370364998297</v>
      </c>
      <c r="U29" s="47">
        <v>6805.9746455009954</v>
      </c>
      <c r="V29" s="81">
        <v>14.485707151749462</v>
      </c>
    </row>
    <row r="30" spans="1:22" x14ac:dyDescent="0.25">
      <c r="A30" s="151"/>
      <c r="B30" s="29" t="str">
        <f>VLOOKUP("&lt;T2Zeilentitel_5.4&gt;",Uebersetzungen!$B$3:$E$200,Uebersetzungen!$B$2+1,FALSE)</f>
        <v>Ausländer/innen der zweiten und höheren Generation</v>
      </c>
      <c r="C30" s="45">
        <v>2340.085210106819</v>
      </c>
      <c r="D30" s="46">
        <v>25.364680650187385</v>
      </c>
      <c r="E30" s="50">
        <v>1462.036702536401</v>
      </c>
      <c r="F30" s="51">
        <v>32.206171945693391</v>
      </c>
      <c r="G30" s="50">
        <v>1410.7436612666393</v>
      </c>
      <c r="H30" s="52">
        <v>32.638101577803944</v>
      </c>
      <c r="I30" s="49" t="s">
        <v>333</v>
      </c>
      <c r="J30" s="46" t="s">
        <v>333</v>
      </c>
      <c r="K30" s="47" t="s">
        <v>333</v>
      </c>
      <c r="L30" s="48" t="s">
        <v>333</v>
      </c>
      <c r="M30" s="47" t="s">
        <v>333</v>
      </c>
      <c r="N30" s="46" t="s">
        <v>333</v>
      </c>
      <c r="O30" s="55">
        <v>1193.2332730096173</v>
      </c>
      <c r="P30" s="52">
        <v>35.255558110490483</v>
      </c>
      <c r="Q30" s="50" t="s">
        <v>333</v>
      </c>
      <c r="R30" s="51" t="s">
        <v>333</v>
      </c>
      <c r="S30" s="47" t="s">
        <v>333</v>
      </c>
      <c r="T30" s="46" t="s">
        <v>333</v>
      </c>
      <c r="U30" s="50">
        <v>878.048507570418</v>
      </c>
      <c r="V30" s="82">
        <v>41.463104142754581</v>
      </c>
    </row>
    <row r="31" spans="1:22" x14ac:dyDescent="0.25">
      <c r="A31" s="152"/>
      <c r="B31" s="29" t="str">
        <f>VLOOKUP("&lt;T2Zeilentitel_5.5&gt;",Uebersetzungen!$B$3:$E$200,Uebersetzungen!$B$2+1,FALSE)</f>
        <v>Migrationshintergrund unbekannt</v>
      </c>
      <c r="C31" s="100">
        <v>1041.351427922137</v>
      </c>
      <c r="D31" s="63">
        <v>35.886950195120704</v>
      </c>
      <c r="E31" s="61">
        <v>731.08763969942004</v>
      </c>
      <c r="F31" s="62">
        <v>43.201101091291896</v>
      </c>
      <c r="G31" s="61">
        <v>689.99923342051773</v>
      </c>
      <c r="H31" s="63">
        <v>44.314569623584681</v>
      </c>
      <c r="I31" s="60" t="s">
        <v>333</v>
      </c>
      <c r="J31" s="57" t="s">
        <v>333</v>
      </c>
      <c r="K31" s="58" t="s">
        <v>333</v>
      </c>
      <c r="L31" s="59" t="s">
        <v>333</v>
      </c>
      <c r="M31" s="58" t="s">
        <v>333</v>
      </c>
      <c r="N31" s="57" t="s">
        <v>333</v>
      </c>
      <c r="O31" s="60">
        <v>614.75162832041394</v>
      </c>
      <c r="P31" s="57">
        <v>46.863401717397757</v>
      </c>
      <c r="Q31" s="58" t="s">
        <v>333</v>
      </c>
      <c r="R31" s="59" t="s">
        <v>333</v>
      </c>
      <c r="S31" s="58" t="s">
        <v>333</v>
      </c>
      <c r="T31" s="57" t="s">
        <v>333</v>
      </c>
      <c r="U31" s="61">
        <v>310.26378822271687</v>
      </c>
      <c r="V31" s="101">
        <v>64.662258545737501</v>
      </c>
    </row>
    <row r="32" spans="1:22" ht="12.75" customHeight="1" x14ac:dyDescent="0.25">
      <c r="A32" s="150" t="str">
        <f>VLOOKUP("&lt;T2Zeilentitel_6&gt;",Uebersetzungen!$B$3:$E$200,Uebersetzungen!$B$2+1,FALSE)</f>
        <v>Sozioprofessionelle Kategorien</v>
      </c>
      <c r="B32" s="106" t="str">
        <f>VLOOKUP("&lt;T2Zeilentitel_6.1&gt;",Uebersetzungen!$B$3:$E$200,Uebersetzungen!$B$2+1,FALSE)</f>
        <v>Oberstes Management</v>
      </c>
      <c r="C32" s="93">
        <v>2953.3948145954164</v>
      </c>
      <c r="D32" s="42">
        <v>20.757746539864382</v>
      </c>
      <c r="E32" s="94">
        <v>2953.3948145954159</v>
      </c>
      <c r="F32" s="43">
        <v>20.757746539864385</v>
      </c>
      <c r="G32" s="94">
        <v>2953.3948145954159</v>
      </c>
      <c r="H32" s="42">
        <v>20.757746539864385</v>
      </c>
      <c r="I32" s="103" t="s">
        <v>333</v>
      </c>
      <c r="J32" s="98" t="s">
        <v>333</v>
      </c>
      <c r="K32" s="94" t="s">
        <v>333</v>
      </c>
      <c r="L32" s="43" t="s">
        <v>333</v>
      </c>
      <c r="M32" s="96">
        <v>952.21066040766948</v>
      </c>
      <c r="N32" s="98">
        <v>38.151444024683492</v>
      </c>
      <c r="O32" s="103">
        <v>1901.7702534982286</v>
      </c>
      <c r="P32" s="98">
        <v>25.475875248248979</v>
      </c>
      <c r="Q32" s="94" t="s">
        <v>333</v>
      </c>
      <c r="R32" s="43" t="s">
        <v>333</v>
      </c>
      <c r="S32" s="94" t="s">
        <v>333</v>
      </c>
      <c r="T32" s="42" t="s">
        <v>333</v>
      </c>
      <c r="U32" s="94" t="s">
        <v>333</v>
      </c>
      <c r="V32" s="80" t="s">
        <v>333</v>
      </c>
    </row>
    <row r="33" spans="1:22" x14ac:dyDescent="0.25">
      <c r="A33" s="151"/>
      <c r="B33" s="104" t="str">
        <f>VLOOKUP("&lt;T2Zeilentitel_6.2&gt;",Uebersetzungen!$B$3:$E$200,Uebersetzungen!$B$2+1,FALSE)</f>
        <v>Freie und gleichgestellte Berufe</v>
      </c>
      <c r="C33" s="45">
        <v>2954.6168063002142</v>
      </c>
      <c r="D33" s="46">
        <v>20.718263642941835</v>
      </c>
      <c r="E33" s="47">
        <v>2954.6168063002165</v>
      </c>
      <c r="F33" s="48">
        <v>20.718263642941835</v>
      </c>
      <c r="G33" s="47">
        <v>2954.6168063002165</v>
      </c>
      <c r="H33" s="46">
        <v>20.718263642941835</v>
      </c>
      <c r="I33" s="55">
        <v>1529.2311650169856</v>
      </c>
      <c r="J33" s="52">
        <v>28.75252881016381</v>
      </c>
      <c r="K33" s="47" t="s">
        <v>333</v>
      </c>
      <c r="L33" s="48" t="s">
        <v>333</v>
      </c>
      <c r="M33" s="50">
        <v>1425.3856412832283</v>
      </c>
      <c r="N33" s="52">
        <v>30.151404791580447</v>
      </c>
      <c r="O33" s="49" t="s">
        <v>333</v>
      </c>
      <c r="P33" s="46" t="s">
        <v>333</v>
      </c>
      <c r="Q33" s="47" t="s">
        <v>333</v>
      </c>
      <c r="R33" s="48" t="s">
        <v>333</v>
      </c>
      <c r="S33" s="47" t="s">
        <v>333</v>
      </c>
      <c r="T33" s="46" t="s">
        <v>333</v>
      </c>
      <c r="U33" s="47" t="s">
        <v>333</v>
      </c>
      <c r="V33" s="81" t="s">
        <v>333</v>
      </c>
    </row>
    <row r="34" spans="1:22" x14ac:dyDescent="0.25">
      <c r="A34" s="151"/>
      <c r="B34" s="104" t="str">
        <f>VLOOKUP("&lt;T2Zeilentitel_6.3&gt;",Uebersetzungen!$B$3:$E$200,Uebersetzungen!$B$2+1,FALSE)</f>
        <v>Andere Selbstständige</v>
      </c>
      <c r="C34" s="45">
        <v>12636.193618091325</v>
      </c>
      <c r="D34" s="46">
        <v>9.9706743754828668</v>
      </c>
      <c r="E34" s="47">
        <v>12636.193618091322</v>
      </c>
      <c r="F34" s="48">
        <v>9.9706743754828704</v>
      </c>
      <c r="G34" s="47">
        <v>12636.193618091322</v>
      </c>
      <c r="H34" s="46">
        <v>9.9706743754828704</v>
      </c>
      <c r="I34" s="49">
        <v>7558.4004013386902</v>
      </c>
      <c r="J34" s="46">
        <v>13.136010816539359</v>
      </c>
      <c r="K34" s="47" t="s">
        <v>333</v>
      </c>
      <c r="L34" s="48" t="s">
        <v>333</v>
      </c>
      <c r="M34" s="47">
        <v>5077.7932167526351</v>
      </c>
      <c r="N34" s="46">
        <v>15.998249690899359</v>
      </c>
      <c r="O34" s="49" t="s">
        <v>333</v>
      </c>
      <c r="P34" s="46" t="s">
        <v>333</v>
      </c>
      <c r="Q34" s="47" t="s">
        <v>333</v>
      </c>
      <c r="R34" s="48" t="s">
        <v>333</v>
      </c>
      <c r="S34" s="47" t="s">
        <v>333</v>
      </c>
      <c r="T34" s="46" t="s">
        <v>333</v>
      </c>
      <c r="U34" s="47" t="s">
        <v>333</v>
      </c>
      <c r="V34" s="81" t="s">
        <v>333</v>
      </c>
    </row>
    <row r="35" spans="1:22" x14ac:dyDescent="0.25">
      <c r="A35" s="151"/>
      <c r="B35" s="104" t="str">
        <f>VLOOKUP("&lt;T2Zeilentitel_6.4&gt;",Uebersetzungen!$B$3:$E$200,Uebersetzungen!$B$2+1,FALSE)</f>
        <v>Akademische Berufe und oberes Kader</v>
      </c>
      <c r="C35" s="45">
        <v>14768.995519368731</v>
      </c>
      <c r="D35" s="46">
        <v>8.923526893804592</v>
      </c>
      <c r="E35" s="47">
        <v>14768.995519368731</v>
      </c>
      <c r="F35" s="48">
        <v>8.9235268938046044</v>
      </c>
      <c r="G35" s="47">
        <v>14768.995519368731</v>
      </c>
      <c r="H35" s="46">
        <v>8.9235268938046044</v>
      </c>
      <c r="I35" s="49" t="s">
        <v>333</v>
      </c>
      <c r="J35" s="46" t="s">
        <v>333</v>
      </c>
      <c r="K35" s="50">
        <v>322.51265757611452</v>
      </c>
      <c r="L35" s="51">
        <v>64.730918130995747</v>
      </c>
      <c r="M35" s="47" t="s">
        <v>333</v>
      </c>
      <c r="N35" s="46" t="s">
        <v>333</v>
      </c>
      <c r="O35" s="49">
        <v>14446.482861792616</v>
      </c>
      <c r="P35" s="46">
        <v>9.026375361595905</v>
      </c>
      <c r="Q35" s="47" t="s">
        <v>333</v>
      </c>
      <c r="R35" s="48" t="s">
        <v>333</v>
      </c>
      <c r="S35" s="47" t="s">
        <v>333</v>
      </c>
      <c r="T35" s="46" t="s">
        <v>333</v>
      </c>
      <c r="U35" s="47" t="s">
        <v>333</v>
      </c>
      <c r="V35" s="81" t="s">
        <v>333</v>
      </c>
    </row>
    <row r="36" spans="1:22" x14ac:dyDescent="0.25">
      <c r="A36" s="151"/>
      <c r="B36" s="104" t="str">
        <f>VLOOKUP("&lt;T2Zeilentitel_6.5&gt;",Uebersetzungen!$B$3:$E$200,Uebersetzungen!$B$2+1,FALSE)</f>
        <v>Intermediäre Berufe</v>
      </c>
      <c r="C36" s="45">
        <v>31790.919442611845</v>
      </c>
      <c r="D36" s="46">
        <v>5.8999378246301584</v>
      </c>
      <c r="E36" s="47">
        <v>31790.919442611848</v>
      </c>
      <c r="F36" s="48">
        <v>5.8999378246301468</v>
      </c>
      <c r="G36" s="47">
        <v>31790.919442611848</v>
      </c>
      <c r="H36" s="46">
        <v>5.8999378246301468</v>
      </c>
      <c r="I36" s="49" t="s">
        <v>333</v>
      </c>
      <c r="J36" s="46" t="s">
        <v>333</v>
      </c>
      <c r="K36" s="50">
        <v>1196.8854217392038</v>
      </c>
      <c r="L36" s="51">
        <v>34.41027081247001</v>
      </c>
      <c r="M36" s="47" t="s">
        <v>333</v>
      </c>
      <c r="N36" s="46" t="s">
        <v>333</v>
      </c>
      <c r="O36" s="49">
        <v>30594.034020872641</v>
      </c>
      <c r="P36" s="46">
        <v>6.030636243433257</v>
      </c>
      <c r="Q36" s="47" t="s">
        <v>333</v>
      </c>
      <c r="R36" s="48" t="s">
        <v>333</v>
      </c>
      <c r="S36" s="47" t="s">
        <v>333</v>
      </c>
      <c r="T36" s="46" t="s">
        <v>333</v>
      </c>
      <c r="U36" s="47" t="s">
        <v>333</v>
      </c>
      <c r="V36" s="81" t="s">
        <v>333</v>
      </c>
    </row>
    <row r="37" spans="1:22" x14ac:dyDescent="0.25">
      <c r="A37" s="151"/>
      <c r="B37" s="104" t="str">
        <f>VLOOKUP("&lt;T2Zeilentitel_6.6&gt;",Uebersetzungen!$B$3:$E$200,Uebersetzungen!$B$2+1,FALSE)</f>
        <v>Qualifizierte nichtmanuelle Berufe</v>
      </c>
      <c r="C37" s="45">
        <v>19687.931100661233</v>
      </c>
      <c r="D37" s="46">
        <v>7.8145678044516211</v>
      </c>
      <c r="E37" s="47">
        <v>19687.931100661244</v>
      </c>
      <c r="F37" s="48">
        <v>7.8145678044516167</v>
      </c>
      <c r="G37" s="47">
        <v>19687.931100661244</v>
      </c>
      <c r="H37" s="46">
        <v>7.8145678044516167</v>
      </c>
      <c r="I37" s="49" t="s">
        <v>333</v>
      </c>
      <c r="J37" s="46" t="s">
        <v>333</v>
      </c>
      <c r="K37" s="50">
        <v>1593.8384955468664</v>
      </c>
      <c r="L37" s="51">
        <v>29.223527566152352</v>
      </c>
      <c r="M37" s="47" t="s">
        <v>333</v>
      </c>
      <c r="N37" s="46" t="s">
        <v>333</v>
      </c>
      <c r="O37" s="49">
        <v>18094.092605114365</v>
      </c>
      <c r="P37" s="46">
        <v>8.1860969591011141</v>
      </c>
      <c r="Q37" s="47" t="s">
        <v>333</v>
      </c>
      <c r="R37" s="48" t="s">
        <v>333</v>
      </c>
      <c r="S37" s="47" t="s">
        <v>333</v>
      </c>
      <c r="T37" s="46" t="s">
        <v>333</v>
      </c>
      <c r="U37" s="47" t="s">
        <v>333</v>
      </c>
      <c r="V37" s="81" t="s">
        <v>333</v>
      </c>
    </row>
    <row r="38" spans="1:22" x14ac:dyDescent="0.25">
      <c r="A38" s="151"/>
      <c r="B38" s="104" t="str">
        <f>VLOOKUP("&lt;T2Zeilentitel_6.7&gt;",Uebersetzungen!$B$3:$E$200,Uebersetzungen!$B$2+1,FALSE)</f>
        <v>Qualifizierte manuelle Berufe</v>
      </c>
      <c r="C38" s="45">
        <v>9484.879204312334</v>
      </c>
      <c r="D38" s="46">
        <v>11.864977699035608</v>
      </c>
      <c r="E38" s="47">
        <v>9484.8792043123321</v>
      </c>
      <c r="F38" s="48">
        <v>11.864977699035611</v>
      </c>
      <c r="G38" s="47">
        <v>9484.8792043123321</v>
      </c>
      <c r="H38" s="46">
        <v>11.864977699035611</v>
      </c>
      <c r="I38" s="49" t="s">
        <v>333</v>
      </c>
      <c r="J38" s="46" t="s">
        <v>333</v>
      </c>
      <c r="K38" s="50">
        <v>1084.982913779128</v>
      </c>
      <c r="L38" s="51">
        <v>35.891132742172033</v>
      </c>
      <c r="M38" s="47" t="s">
        <v>333</v>
      </c>
      <c r="N38" s="46" t="s">
        <v>333</v>
      </c>
      <c r="O38" s="49">
        <v>8399.8962905332064</v>
      </c>
      <c r="P38" s="46">
        <v>12.647744678878064</v>
      </c>
      <c r="Q38" s="47" t="s">
        <v>333</v>
      </c>
      <c r="R38" s="48" t="s">
        <v>333</v>
      </c>
      <c r="S38" s="47" t="s">
        <v>333</v>
      </c>
      <c r="T38" s="46" t="s">
        <v>333</v>
      </c>
      <c r="U38" s="47" t="s">
        <v>333</v>
      </c>
      <c r="V38" s="81" t="s">
        <v>333</v>
      </c>
    </row>
    <row r="39" spans="1:22" x14ac:dyDescent="0.25">
      <c r="A39" s="151"/>
      <c r="B39" s="104" t="str">
        <f>VLOOKUP("&lt;T2Zeilentitel_6.8&gt;",Uebersetzungen!$B$3:$E$200,Uebersetzungen!$B$2+1,FALSE)</f>
        <v>Ungelernte Angestellte und Arbeiter</v>
      </c>
      <c r="C39" s="45">
        <v>7868.3355356968304</v>
      </c>
      <c r="D39" s="46">
        <v>13.346655540716684</v>
      </c>
      <c r="E39" s="47">
        <v>7868.3355356968314</v>
      </c>
      <c r="F39" s="48">
        <v>13.346655540716672</v>
      </c>
      <c r="G39" s="47">
        <v>7868.3355356968314</v>
      </c>
      <c r="H39" s="46">
        <v>13.346655540716672</v>
      </c>
      <c r="I39" s="49" t="s">
        <v>333</v>
      </c>
      <c r="J39" s="46" t="s">
        <v>333</v>
      </c>
      <c r="K39" s="50">
        <v>479.4444990262304</v>
      </c>
      <c r="L39" s="51">
        <v>53.837653336230979</v>
      </c>
      <c r="M39" s="47" t="s">
        <v>333</v>
      </c>
      <c r="N39" s="46" t="s">
        <v>333</v>
      </c>
      <c r="O39" s="49">
        <v>7388.8910366706004</v>
      </c>
      <c r="P39" s="46">
        <v>13.812421266427634</v>
      </c>
      <c r="Q39" s="47" t="s">
        <v>333</v>
      </c>
      <c r="R39" s="48" t="s">
        <v>333</v>
      </c>
      <c r="S39" s="47" t="s">
        <v>333</v>
      </c>
      <c r="T39" s="46" t="s">
        <v>333</v>
      </c>
      <c r="U39" s="47" t="s">
        <v>333</v>
      </c>
      <c r="V39" s="81" t="s">
        <v>333</v>
      </c>
    </row>
    <row r="40" spans="1:22" ht="25" x14ac:dyDescent="0.25">
      <c r="A40" s="151"/>
      <c r="B40" s="104" t="str">
        <f>VLOOKUP("&lt;T2Zeilentitel_6.9&gt;",Uebersetzungen!$B$3:$E$200,Uebersetzungen!$B$2+1,FALSE)</f>
        <v>Lernende in dualer beruflicher Grundbildung (Lehrlinge)</v>
      </c>
      <c r="C40" s="45">
        <v>3201.5321721395994</v>
      </c>
      <c r="D40" s="46">
        <v>20.317967540486357</v>
      </c>
      <c r="E40" s="47">
        <v>3201.5321721395994</v>
      </c>
      <c r="F40" s="48">
        <v>20.317967540486357</v>
      </c>
      <c r="G40" s="47">
        <v>3201.5321721395994</v>
      </c>
      <c r="H40" s="46">
        <v>20.317967540486357</v>
      </c>
      <c r="I40" s="49" t="s">
        <v>333</v>
      </c>
      <c r="J40" s="46" t="s">
        <v>333</v>
      </c>
      <c r="K40" s="47" t="s">
        <v>333</v>
      </c>
      <c r="L40" s="48" t="s">
        <v>333</v>
      </c>
      <c r="M40" s="47" t="s">
        <v>333</v>
      </c>
      <c r="N40" s="46" t="s">
        <v>333</v>
      </c>
      <c r="O40" s="49" t="s">
        <v>333</v>
      </c>
      <c r="P40" s="46" t="s">
        <v>333</v>
      </c>
      <c r="Q40" s="47">
        <v>3201.5321721395994</v>
      </c>
      <c r="R40" s="48">
        <v>20.317967540486357</v>
      </c>
      <c r="S40" s="47" t="s">
        <v>333</v>
      </c>
      <c r="T40" s="46" t="s">
        <v>333</v>
      </c>
      <c r="U40" s="47" t="s">
        <v>333</v>
      </c>
      <c r="V40" s="81" t="s">
        <v>333</v>
      </c>
    </row>
    <row r="41" spans="1:22" x14ac:dyDescent="0.25">
      <c r="A41" s="151"/>
      <c r="B41" s="104" t="str">
        <f>VLOOKUP("&lt;T2Zeilentitel_6.10&gt;",Uebersetzungen!$B$3:$E$200,Uebersetzungen!$B$2+1,FALSE)</f>
        <v>Nicht zuteilbare Erwerbstätige (fehlende oder unklare Basisdaten oder unplausible Kombination)</v>
      </c>
      <c r="C41" s="45">
        <v>2169.8068201438932</v>
      </c>
      <c r="D41" s="46">
        <v>25.542148859673862</v>
      </c>
      <c r="E41" s="47">
        <v>2169.8068201438932</v>
      </c>
      <c r="F41" s="48">
        <v>25.542148859673862</v>
      </c>
      <c r="G41" s="47">
        <v>2169.8068201438932</v>
      </c>
      <c r="H41" s="46">
        <v>25.542148859673862</v>
      </c>
      <c r="I41" s="49" t="s">
        <v>333</v>
      </c>
      <c r="J41" s="46" t="s">
        <v>333</v>
      </c>
      <c r="K41" s="50">
        <v>202.43701596116864</v>
      </c>
      <c r="L41" s="51">
        <v>78.977739959621559</v>
      </c>
      <c r="M41" s="47" t="s">
        <v>333</v>
      </c>
      <c r="N41" s="46" t="s">
        <v>333</v>
      </c>
      <c r="O41" s="55">
        <v>1858.121372213109</v>
      </c>
      <c r="P41" s="52">
        <v>27.837903025874756</v>
      </c>
      <c r="Q41" s="47" t="s">
        <v>333</v>
      </c>
      <c r="R41" s="48" t="s">
        <v>333</v>
      </c>
      <c r="S41" s="47" t="s">
        <v>333</v>
      </c>
      <c r="T41" s="46" t="s">
        <v>333</v>
      </c>
      <c r="U41" s="47" t="s">
        <v>333</v>
      </c>
      <c r="V41" s="81" t="s">
        <v>333</v>
      </c>
    </row>
    <row r="42" spans="1:22" x14ac:dyDescent="0.25">
      <c r="A42" s="152"/>
      <c r="B42" s="104" t="str">
        <f>VLOOKUP("&lt;T2Zeilentitel_6.11&gt;",Uebersetzungen!$B$3:$E$200,Uebersetzungen!$B$2+1,FALSE)</f>
        <v>Erwerbslose und Nichterwerbspersonen</v>
      </c>
      <c r="C42" s="56">
        <v>65470.394966079788</v>
      </c>
      <c r="D42" s="57">
        <v>3.4907975001966056</v>
      </c>
      <c r="E42" s="58">
        <v>2273.582534576155</v>
      </c>
      <c r="F42" s="59">
        <v>25.546793337573479</v>
      </c>
      <c r="G42" s="58" t="s">
        <v>333</v>
      </c>
      <c r="H42" s="57" t="s">
        <v>333</v>
      </c>
      <c r="I42" s="60" t="s">
        <v>333</v>
      </c>
      <c r="J42" s="57" t="s">
        <v>333</v>
      </c>
      <c r="K42" s="58" t="s">
        <v>333</v>
      </c>
      <c r="L42" s="59" t="s">
        <v>333</v>
      </c>
      <c r="M42" s="58" t="s">
        <v>333</v>
      </c>
      <c r="N42" s="57" t="s">
        <v>333</v>
      </c>
      <c r="O42" s="60" t="s">
        <v>333</v>
      </c>
      <c r="P42" s="57" t="s">
        <v>333</v>
      </c>
      <c r="Q42" s="58" t="s">
        <v>333</v>
      </c>
      <c r="R42" s="59" t="s">
        <v>333</v>
      </c>
      <c r="S42" s="58">
        <v>2273.582534576155</v>
      </c>
      <c r="T42" s="57">
        <v>25.546793337573479</v>
      </c>
      <c r="U42" s="58">
        <v>63196.812431503633</v>
      </c>
      <c r="V42" s="99">
        <v>3.5749644565401599</v>
      </c>
    </row>
    <row r="43" spans="1:22" x14ac:dyDescent="0.25">
      <c r="A43" s="151" t="str">
        <f>VLOOKUP("&lt;T2Zeilentitel_7&gt;",Uebersetzungen!$B$3:$E$200,Uebersetzungen!$B$2+1,FALSE)</f>
        <v>Höchste abgeschlossene Ausbildung</v>
      </c>
      <c r="B43" s="106" t="str">
        <f>VLOOKUP("&lt;T2Zeilentitel_7.1&gt;",Uebersetzungen!$B$3:$E$200,Uebersetzungen!$B$2+1,FALSE)</f>
        <v>Obligatorische Schule</v>
      </c>
      <c r="C43" s="45">
        <v>35257.105825795777</v>
      </c>
      <c r="D43" s="46">
        <v>5.5602700259148827</v>
      </c>
      <c r="E43" s="47">
        <v>15737.721612418427</v>
      </c>
      <c r="F43" s="48">
        <v>9.1042630304701841</v>
      </c>
      <c r="G43" s="47">
        <v>15230.925944552968</v>
      </c>
      <c r="H43" s="46">
        <v>9.2590930794259183</v>
      </c>
      <c r="I43" s="55">
        <v>802.52884624250953</v>
      </c>
      <c r="J43" s="52">
        <v>41.405062055209008</v>
      </c>
      <c r="K43" s="50">
        <v>550.90346476875243</v>
      </c>
      <c r="L43" s="51">
        <v>50.089291549402127</v>
      </c>
      <c r="M43" s="50">
        <v>535.82055188794152</v>
      </c>
      <c r="N43" s="52">
        <v>49.992093411914936</v>
      </c>
      <c r="O43" s="49">
        <v>10682.913219207718</v>
      </c>
      <c r="P43" s="46">
        <v>11.339256183910049</v>
      </c>
      <c r="Q43" s="47">
        <v>2658.7598624460484</v>
      </c>
      <c r="R43" s="48">
        <v>22.134651444078095</v>
      </c>
      <c r="S43" s="50">
        <v>506.79566786546013</v>
      </c>
      <c r="T43" s="52">
        <v>54.349029795640156</v>
      </c>
      <c r="U43" s="47">
        <v>19519.384213377351</v>
      </c>
      <c r="V43" s="81">
        <v>7.6968523425486115</v>
      </c>
    </row>
    <row r="44" spans="1:22" x14ac:dyDescent="0.25">
      <c r="A44" s="151"/>
      <c r="B44" s="104" t="str">
        <f>VLOOKUP("&lt;T2Zeilentitel_7.2&gt;",Uebersetzungen!$B$3:$E$200,Uebersetzungen!$B$2+1,FALSE)</f>
        <v>Sekundarstufe II</v>
      </c>
      <c r="C44" s="45">
        <v>79770.07936393148</v>
      </c>
      <c r="D44" s="46">
        <v>3.0314707120835229</v>
      </c>
      <c r="E44" s="47">
        <v>50147.090019607873</v>
      </c>
      <c r="F44" s="48">
        <v>4.4421391108857415</v>
      </c>
      <c r="G44" s="47">
        <v>49002.285142121618</v>
      </c>
      <c r="H44" s="46">
        <v>4.506693847596889</v>
      </c>
      <c r="I44" s="49">
        <v>3854.0076187456248</v>
      </c>
      <c r="J44" s="46">
        <v>18.634712366752705</v>
      </c>
      <c r="K44" s="47">
        <v>2816.7798147361609</v>
      </c>
      <c r="L44" s="48">
        <v>21.979859416333159</v>
      </c>
      <c r="M44" s="47">
        <v>2947.3069335598275</v>
      </c>
      <c r="N44" s="46">
        <v>21.444627589536228</v>
      </c>
      <c r="O44" s="49">
        <v>38841.418465386487</v>
      </c>
      <c r="P44" s="46">
        <v>5.2470819667680084</v>
      </c>
      <c r="Q44" s="50">
        <v>542.7723096935506</v>
      </c>
      <c r="R44" s="51">
        <v>51.779171454186958</v>
      </c>
      <c r="S44" s="50">
        <v>1144.8048774862455</v>
      </c>
      <c r="T44" s="52">
        <v>36.072127488144872</v>
      </c>
      <c r="U44" s="47">
        <v>29622.989344323585</v>
      </c>
      <c r="V44" s="81">
        <v>5.985195463379787</v>
      </c>
    </row>
    <row r="45" spans="1:22" ht="13" thickBot="1" x14ac:dyDescent="0.3">
      <c r="A45" s="153"/>
      <c r="B45" s="105" t="str">
        <f>VLOOKUP("&lt;T2Zeilentitel_7.3&gt;",Uebersetzungen!$B$3:$E$200,Uebersetzungen!$B$2+1,FALSE)</f>
        <v>Tertiärstufe</v>
      </c>
      <c r="C45" s="83">
        <v>57959.81481027398</v>
      </c>
      <c r="D45" s="84">
        <v>3.8600787798579161</v>
      </c>
      <c r="E45" s="85">
        <v>43905.375936471348</v>
      </c>
      <c r="F45" s="86">
        <v>4.7290620922623576</v>
      </c>
      <c r="G45" s="85">
        <v>43283.393947246914</v>
      </c>
      <c r="H45" s="84">
        <v>4.7677292396921072</v>
      </c>
      <c r="I45" s="87">
        <v>4639.7574340266765</v>
      </c>
      <c r="J45" s="84">
        <v>16.656610579773204</v>
      </c>
      <c r="K45" s="88">
        <v>1512.4177241237981</v>
      </c>
      <c r="L45" s="89">
        <v>30.351748283998443</v>
      </c>
      <c r="M45" s="85">
        <v>3972.2620329957663</v>
      </c>
      <c r="N45" s="84">
        <v>17.94993989661965</v>
      </c>
      <c r="O45" s="87">
        <v>33158.956756100575</v>
      </c>
      <c r="P45" s="84">
        <v>5.6422578641034269</v>
      </c>
      <c r="Q45" s="85" t="s">
        <v>333</v>
      </c>
      <c r="R45" s="86" t="s">
        <v>333</v>
      </c>
      <c r="S45" s="88">
        <v>621.9819892244509</v>
      </c>
      <c r="T45" s="90">
        <v>49.136909778110287</v>
      </c>
      <c r="U45" s="85">
        <v>14054.438873802716</v>
      </c>
      <c r="V45" s="91">
        <v>9.0906554380719022</v>
      </c>
    </row>
    <row r="46" spans="1:22" x14ac:dyDescent="0.25">
      <c r="A46" s="39"/>
      <c r="B46" s="41"/>
      <c r="C46" s="4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x14ac:dyDescent="0.25">
      <c r="A47" s="15" t="str">
        <f>VLOOKUP("&lt;Legende_1&gt;",Uebersetzungen!$B$3:$E$200,Uebersetzungen!$B$2+1,FALSE)</f>
        <v>(): Extrapolation aufgrund von 49 oder weniger Beobachtungen. Die Resultate sind mit grosser Vorsicht zu interpretieren.</v>
      </c>
      <c r="B47" s="15"/>
      <c r="C47" s="4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x14ac:dyDescent="0.25">
      <c r="A48" s="15" t="str">
        <f>VLOOKUP("&lt;Legende_2&gt;",Uebersetzungen!$B$3:$E$200,Uebersetzungen!$B$2+1,FALSE)</f>
        <v>X: Extrapolation aufgrund von 4 oder weniger Beobachtungen. Die Resultate werden aus Gründen des Datenschutzes nicht publiziert.</v>
      </c>
      <c r="B48" s="15"/>
      <c r="C48" s="41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x14ac:dyDescent="0.25">
      <c r="A49" s="15" t="str">
        <f>VLOOKUP("&lt;Legende_3&gt;",Uebersetzungen!$B$3:$E$200,Uebersetzungen!$B$2+1,FALSE)</f>
        <v>Die Grundgesamtheit der Strukturerhebung enthält alle Personen der ständigen Wohnbevölkerung ab vollendetem 15. Altersjahr, die in Privathaushalten leben.</v>
      </c>
      <c r="B49" s="15"/>
      <c r="C49" s="4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x14ac:dyDescent="0.25">
      <c r="A50" s="15" t="str">
        <f>VLOOKUP("&lt;Legende_4&gt;",Uebersetzungen!$B$3:$E$200,Uebersetzungen!$B$2+1,FALSE)</f>
        <v>Aus der Grundgesamtheit ausgeschlossen wurden neben den Personen, die in Kollektivhaushalten leben, auch Diplomaten, internationale Funktionäre und deren Angehörige.</v>
      </c>
      <c r="B50" s="15"/>
      <c r="C50" s="4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x14ac:dyDescent="0.25">
      <c r="A51" s="1"/>
      <c r="B51" s="15"/>
      <c r="C51" s="4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x14ac:dyDescent="0.25">
      <c r="A52" s="1" t="str">
        <f>VLOOKUP("&lt;quelle_1&gt;",Uebersetzungen!$B$3:$E$200,Uebersetzungen!$B$2+1,FALSE)</f>
        <v>Quelle: BFS (Strukturerhebung)</v>
      </c>
      <c r="B52" s="15"/>
      <c r="C52" s="4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x14ac:dyDescent="0.25">
      <c r="A53" s="1" t="str">
        <f>VLOOKUP("&lt;aktualisierung&gt;",Uebersetzungen!$B$3:$E$200,Uebersetzungen!$B$2+1,FALSE)</f>
        <v>Letztmals aktualisiert am: 26.01.2024</v>
      </c>
      <c r="B53" s="15"/>
      <c r="C53" s="41"/>
    </row>
    <row r="54" spans="1:22" x14ac:dyDescent="0.25">
      <c r="A54" s="27"/>
      <c r="B54" s="15"/>
      <c r="C54" s="41"/>
    </row>
    <row r="55" spans="1:22" x14ac:dyDescent="0.25">
      <c r="A55" s="27"/>
      <c r="B55" s="41"/>
      <c r="C55" s="41"/>
    </row>
    <row r="56" spans="1:22" x14ac:dyDescent="0.25">
      <c r="A56" s="27"/>
    </row>
  </sheetData>
  <sheetProtection sheet="1" objects="1" scenarios="1"/>
  <mergeCells count="19">
    <mergeCell ref="A7:B7"/>
    <mergeCell ref="C12:V12"/>
    <mergeCell ref="C13:D13"/>
    <mergeCell ref="A15:B15"/>
    <mergeCell ref="A16:A17"/>
    <mergeCell ref="K13:L13"/>
    <mergeCell ref="M13:N13"/>
    <mergeCell ref="O13:P13"/>
    <mergeCell ref="Q13:R13"/>
    <mergeCell ref="S13:T13"/>
    <mergeCell ref="U13:V13"/>
    <mergeCell ref="E13:F13"/>
    <mergeCell ref="G13:H13"/>
    <mergeCell ref="I13:J13"/>
    <mergeCell ref="A18:A21"/>
    <mergeCell ref="A22:A26"/>
    <mergeCell ref="A27:A31"/>
    <mergeCell ref="A32:A42"/>
    <mergeCell ref="A43:A45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3" name="Option Button 7">
              <controlPr defaultSize="0" autoFill="0" autoLine="0" autoPict="0">
                <anchor moveWithCells="1">
                  <from>
                    <xdr:col>2</xdr:col>
                    <xdr:colOff>527050</xdr:colOff>
                    <xdr:row>1</xdr:row>
                    <xdr:rowOff>127000</xdr:rowOff>
                  </from>
                  <to>
                    <xdr:col>4</xdr:col>
                    <xdr:colOff>114300</xdr:colOff>
                    <xdr:row>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4" name="Option Button 8">
              <controlPr defaultSize="0" autoFill="0" autoLine="0" autoPict="0">
                <anchor moveWithCells="1">
                  <from>
                    <xdr:col>2</xdr:col>
                    <xdr:colOff>527050</xdr:colOff>
                    <xdr:row>2</xdr:row>
                    <xdr:rowOff>114300</xdr:rowOff>
                  </from>
                  <to>
                    <xdr:col>4</xdr:col>
                    <xdr:colOff>539750</xdr:colOff>
                    <xdr:row>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Option Button 9">
              <controlPr defaultSize="0" autoFill="0" autoLine="0" autoPict="0">
                <anchor moveWithCells="1">
                  <from>
                    <xdr:col>2</xdr:col>
                    <xdr:colOff>527050</xdr:colOff>
                    <xdr:row>3</xdr:row>
                    <xdr:rowOff>88900</xdr:rowOff>
                  </from>
                  <to>
                    <xdr:col>4</xdr:col>
                    <xdr:colOff>114300</xdr:colOff>
                    <xdr:row>4</xdr:row>
                    <xdr:rowOff>120650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/>
  </sheetViews>
  <sheetFormatPr baseColWidth="10" defaultColWidth="12.54296875" defaultRowHeight="12.5" x14ac:dyDescent="0.25"/>
  <cols>
    <col min="1" max="1" width="9.81640625" style="116" customWidth="1"/>
    <col min="2" max="2" width="30" style="116" customWidth="1"/>
    <col min="3" max="3" width="78.54296875" style="120" customWidth="1"/>
    <col min="4" max="5" width="53.453125" style="120" customWidth="1"/>
    <col min="6" max="6" width="22.453125" style="116" customWidth="1"/>
    <col min="7" max="8" width="12.54296875" style="116"/>
    <col min="9" max="9" width="37.7265625" style="116" customWidth="1"/>
    <col min="10" max="16384" width="12.54296875" style="116"/>
  </cols>
  <sheetData>
    <row r="1" spans="1:6" ht="13" x14ac:dyDescent="0.25">
      <c r="A1" s="113" t="s">
        <v>1</v>
      </c>
      <c r="B1" s="113" t="s">
        <v>2</v>
      </c>
      <c r="C1" s="114" t="s">
        <v>3</v>
      </c>
      <c r="D1" s="114" t="s">
        <v>4</v>
      </c>
      <c r="E1" s="114" t="s">
        <v>5</v>
      </c>
      <c r="F1" s="115"/>
    </row>
    <row r="2" spans="1:6" ht="12.75" customHeight="1" x14ac:dyDescent="0.25">
      <c r="A2" s="117" t="s">
        <v>6</v>
      </c>
      <c r="B2" s="118">
        <v>1</v>
      </c>
      <c r="C2" s="119"/>
      <c r="D2" s="119"/>
      <c r="E2" s="119"/>
      <c r="F2" s="115"/>
    </row>
    <row r="3" spans="1:6" ht="12.75" customHeight="1" x14ac:dyDescent="0.25">
      <c r="A3" s="117"/>
      <c r="B3" s="116" t="s">
        <v>7</v>
      </c>
      <c r="C3" s="120" t="s">
        <v>8</v>
      </c>
      <c r="D3" s="120" t="s">
        <v>9</v>
      </c>
      <c r="E3" s="120" t="s">
        <v>10</v>
      </c>
      <c r="F3" s="115"/>
    </row>
    <row r="4" spans="1:6" ht="12.75" customHeight="1" x14ac:dyDescent="0.25">
      <c r="A4" s="117" t="s">
        <v>11</v>
      </c>
      <c r="B4" s="116" t="s">
        <v>12</v>
      </c>
      <c r="C4" s="120" t="s">
        <v>278</v>
      </c>
      <c r="D4" s="120" t="s">
        <v>327</v>
      </c>
      <c r="E4" s="120" t="s">
        <v>281</v>
      </c>
      <c r="F4" s="115"/>
    </row>
    <row r="5" spans="1:6" ht="12.75" customHeight="1" x14ac:dyDescent="0.25">
      <c r="A5" s="117"/>
      <c r="B5" s="116" t="s">
        <v>13</v>
      </c>
      <c r="C5" s="120" t="s">
        <v>14</v>
      </c>
      <c r="D5" s="120" t="s">
        <v>15</v>
      </c>
      <c r="E5" s="120" t="s">
        <v>16</v>
      </c>
      <c r="F5" s="115"/>
    </row>
    <row r="6" spans="1:6" ht="12.75" customHeight="1" x14ac:dyDescent="0.25">
      <c r="A6" s="117" t="s">
        <v>11</v>
      </c>
      <c r="B6" s="116" t="s">
        <v>17</v>
      </c>
      <c r="C6" s="120" t="s">
        <v>18</v>
      </c>
      <c r="D6" s="120" t="s">
        <v>18</v>
      </c>
      <c r="E6" s="120" t="s">
        <v>19</v>
      </c>
      <c r="F6" s="115"/>
    </row>
    <row r="7" spans="1:6" ht="12.75" customHeight="1" x14ac:dyDescent="0.25">
      <c r="A7" s="117"/>
      <c r="B7" s="116" t="s">
        <v>20</v>
      </c>
      <c r="C7" s="120" t="s">
        <v>21</v>
      </c>
      <c r="D7" s="120" t="s">
        <v>282</v>
      </c>
      <c r="E7" s="120" t="s">
        <v>287</v>
      </c>
      <c r="F7" s="115"/>
    </row>
    <row r="8" spans="1:6" ht="12.75" customHeight="1" x14ac:dyDescent="0.25">
      <c r="A8" s="117"/>
      <c r="B8" s="116" t="s">
        <v>22</v>
      </c>
      <c r="C8" s="120" t="s">
        <v>23</v>
      </c>
      <c r="D8" s="120" t="s">
        <v>283</v>
      </c>
      <c r="E8" s="120" t="s">
        <v>288</v>
      </c>
      <c r="F8" s="115"/>
    </row>
    <row r="9" spans="1:6" ht="12.75" customHeight="1" x14ac:dyDescent="0.25">
      <c r="A9" s="117"/>
      <c r="B9" s="116" t="s">
        <v>24</v>
      </c>
      <c r="C9" s="120" t="s">
        <v>25</v>
      </c>
      <c r="D9" s="120" t="s">
        <v>284</v>
      </c>
      <c r="E9" s="120" t="s">
        <v>289</v>
      </c>
      <c r="F9" s="115"/>
    </row>
    <row r="10" spans="1:6" ht="12.75" customHeight="1" x14ac:dyDescent="0.25">
      <c r="A10" s="117"/>
      <c r="B10" s="116" t="s">
        <v>26</v>
      </c>
      <c r="C10" s="120" t="s">
        <v>27</v>
      </c>
      <c r="D10" s="120" t="s">
        <v>28</v>
      </c>
      <c r="E10" s="120" t="s">
        <v>290</v>
      </c>
      <c r="F10" s="115"/>
    </row>
    <row r="11" spans="1:6" ht="12.75" customHeight="1" x14ac:dyDescent="0.25">
      <c r="A11" s="117"/>
      <c r="B11" s="116" t="s">
        <v>29</v>
      </c>
      <c r="C11" s="120" t="s">
        <v>30</v>
      </c>
      <c r="D11" s="120" t="s">
        <v>31</v>
      </c>
      <c r="E11" s="120" t="s">
        <v>291</v>
      </c>
      <c r="F11" s="115"/>
    </row>
    <row r="12" spans="1:6" ht="12.75" customHeight="1" x14ac:dyDescent="0.25">
      <c r="A12" s="117"/>
      <c r="B12" s="116" t="s">
        <v>32</v>
      </c>
      <c r="C12" s="120" t="s">
        <v>33</v>
      </c>
      <c r="D12" s="120" t="s">
        <v>285</v>
      </c>
      <c r="E12" s="120" t="s">
        <v>292</v>
      </c>
      <c r="F12" s="115"/>
    </row>
    <row r="13" spans="1:6" ht="12.75" customHeight="1" x14ac:dyDescent="0.25">
      <c r="A13" s="117"/>
      <c r="B13" s="116" t="s">
        <v>34</v>
      </c>
      <c r="C13" s="120" t="s">
        <v>35</v>
      </c>
      <c r="D13" s="120" t="s">
        <v>36</v>
      </c>
      <c r="E13" s="120" t="s">
        <v>293</v>
      </c>
      <c r="F13" s="115"/>
    </row>
    <row r="14" spans="1:6" ht="12.75" customHeight="1" x14ac:dyDescent="0.25">
      <c r="A14" s="117"/>
      <c r="B14" s="116" t="s">
        <v>37</v>
      </c>
      <c r="C14" s="120" t="s">
        <v>38</v>
      </c>
      <c r="D14" s="120" t="s">
        <v>286</v>
      </c>
      <c r="E14" s="120" t="s">
        <v>294</v>
      </c>
      <c r="F14" s="115"/>
    </row>
    <row r="15" spans="1:6" ht="12.75" customHeight="1" x14ac:dyDescent="0.25">
      <c r="A15" s="117"/>
      <c r="B15" s="116" t="s">
        <v>39</v>
      </c>
      <c r="C15" s="120" t="s">
        <v>40</v>
      </c>
      <c r="D15" s="120" t="s">
        <v>286</v>
      </c>
      <c r="E15" s="120" t="s">
        <v>295</v>
      </c>
      <c r="F15" s="115"/>
    </row>
    <row r="16" spans="1:6" ht="12.75" customHeight="1" x14ac:dyDescent="0.25">
      <c r="A16" s="117"/>
      <c r="B16" s="115"/>
      <c r="C16" s="121"/>
      <c r="D16" s="121"/>
      <c r="E16" s="121"/>
      <c r="F16" s="115"/>
    </row>
    <row r="17" spans="1:6" ht="12.75" customHeight="1" x14ac:dyDescent="0.25">
      <c r="A17" s="117"/>
      <c r="B17" s="116" t="s">
        <v>41</v>
      </c>
      <c r="C17" s="120" t="s">
        <v>0</v>
      </c>
      <c r="D17" s="120" t="s">
        <v>42</v>
      </c>
      <c r="E17" s="120" t="s">
        <v>43</v>
      </c>
      <c r="F17" s="115"/>
    </row>
    <row r="18" spans="1:6" ht="12.75" customHeight="1" x14ac:dyDescent="0.25">
      <c r="A18" s="117"/>
      <c r="B18" s="116" t="s">
        <v>44</v>
      </c>
      <c r="C18" s="120" t="s">
        <v>45</v>
      </c>
      <c r="D18" s="120" t="s">
        <v>46</v>
      </c>
      <c r="E18" s="120" t="s">
        <v>47</v>
      </c>
      <c r="F18" s="115"/>
    </row>
    <row r="19" spans="1:6" ht="12.75" customHeight="1" x14ac:dyDescent="0.25">
      <c r="A19" s="117"/>
      <c r="B19" s="115"/>
      <c r="C19" s="121"/>
      <c r="D19" s="121"/>
      <c r="E19" s="121"/>
      <c r="F19" s="115"/>
    </row>
    <row r="20" spans="1:6" ht="12.75" customHeight="1" x14ac:dyDescent="0.25">
      <c r="A20" s="117" t="s">
        <v>48</v>
      </c>
      <c r="B20" s="116" t="s">
        <v>49</v>
      </c>
      <c r="C20" s="120" t="s">
        <v>18</v>
      </c>
      <c r="D20" s="120" t="s">
        <v>18</v>
      </c>
      <c r="E20" s="120" t="s">
        <v>19</v>
      </c>
      <c r="F20" s="115"/>
    </row>
    <row r="21" spans="1:6" ht="12.75" customHeight="1" x14ac:dyDescent="0.25">
      <c r="A21" s="115"/>
      <c r="B21" s="116" t="s">
        <v>50</v>
      </c>
      <c r="C21" s="120" t="s">
        <v>51</v>
      </c>
      <c r="D21" s="120" t="s">
        <v>52</v>
      </c>
      <c r="E21" s="120" t="s">
        <v>53</v>
      </c>
      <c r="F21" s="115"/>
    </row>
    <row r="22" spans="1:6" ht="12.75" customHeight="1" x14ac:dyDescent="0.25">
      <c r="A22" s="117"/>
      <c r="B22" s="115"/>
      <c r="C22" s="121"/>
      <c r="D22" s="121"/>
      <c r="E22" s="121"/>
      <c r="F22" s="115"/>
    </row>
    <row r="23" spans="1:6" ht="12.75" customHeight="1" x14ac:dyDescent="0.25">
      <c r="A23" s="115"/>
      <c r="B23" s="116" t="s">
        <v>54</v>
      </c>
      <c r="C23" s="122" t="s">
        <v>55</v>
      </c>
      <c r="D23" s="123" t="s">
        <v>56</v>
      </c>
      <c r="E23" s="123" t="s">
        <v>57</v>
      </c>
      <c r="F23" s="115"/>
    </row>
    <row r="24" spans="1:6" ht="12.75" customHeight="1" x14ac:dyDescent="0.25">
      <c r="A24" s="115"/>
      <c r="B24" s="116" t="s">
        <v>58</v>
      </c>
      <c r="C24" s="122" t="s">
        <v>59</v>
      </c>
      <c r="D24" s="123" t="s">
        <v>60</v>
      </c>
      <c r="E24" s="123" t="s">
        <v>60</v>
      </c>
      <c r="F24" s="115"/>
    </row>
    <row r="25" spans="1:6" x14ac:dyDescent="0.25">
      <c r="A25" s="115"/>
      <c r="B25" s="116" t="s">
        <v>61</v>
      </c>
      <c r="C25" s="122" t="s">
        <v>62</v>
      </c>
      <c r="D25" s="123" t="s">
        <v>63</v>
      </c>
      <c r="E25" s="123" t="s">
        <v>63</v>
      </c>
      <c r="F25" s="115"/>
    </row>
    <row r="26" spans="1:6" x14ac:dyDescent="0.25">
      <c r="A26" s="115"/>
      <c r="B26" s="116" t="s">
        <v>64</v>
      </c>
      <c r="C26" s="122" t="s">
        <v>65</v>
      </c>
      <c r="D26" s="123" t="s">
        <v>65</v>
      </c>
      <c r="E26" s="123" t="s">
        <v>65</v>
      </c>
      <c r="F26" s="115"/>
    </row>
    <row r="27" spans="1:6" x14ac:dyDescent="0.25">
      <c r="A27" s="115"/>
      <c r="B27" s="116" t="s">
        <v>66</v>
      </c>
      <c r="C27" s="122" t="s">
        <v>67</v>
      </c>
      <c r="D27" s="123" t="s">
        <v>68</v>
      </c>
      <c r="E27" s="123" t="s">
        <v>69</v>
      </c>
      <c r="F27" s="115"/>
    </row>
    <row r="28" spans="1:6" x14ac:dyDescent="0.25">
      <c r="A28" s="115"/>
      <c r="B28" s="116" t="s">
        <v>70</v>
      </c>
      <c r="C28" s="122" t="s">
        <v>71</v>
      </c>
      <c r="D28" s="123" t="s">
        <v>72</v>
      </c>
      <c r="E28" s="123" t="s">
        <v>73</v>
      </c>
      <c r="F28" s="115"/>
    </row>
    <row r="29" spans="1:6" x14ac:dyDescent="0.25">
      <c r="A29" s="115"/>
      <c r="B29" s="116" t="s">
        <v>74</v>
      </c>
      <c r="C29" s="122" t="s">
        <v>75</v>
      </c>
      <c r="D29" s="123" t="s">
        <v>76</v>
      </c>
      <c r="E29" s="123" t="s">
        <v>77</v>
      </c>
      <c r="F29" s="115"/>
    </row>
    <row r="30" spans="1:6" x14ac:dyDescent="0.25">
      <c r="A30" s="115"/>
      <c r="B30" s="116" t="s">
        <v>78</v>
      </c>
      <c r="C30" s="122" t="s">
        <v>79</v>
      </c>
      <c r="D30" s="123" t="s">
        <v>80</v>
      </c>
      <c r="E30" s="123" t="s">
        <v>81</v>
      </c>
      <c r="F30" s="115"/>
    </row>
    <row r="31" spans="1:6" x14ac:dyDescent="0.25">
      <c r="A31" s="115"/>
      <c r="B31" s="116" t="s">
        <v>82</v>
      </c>
      <c r="C31" s="122" t="s">
        <v>83</v>
      </c>
      <c r="D31" s="123" t="s">
        <v>83</v>
      </c>
      <c r="E31" s="123" t="s">
        <v>84</v>
      </c>
      <c r="F31" s="115"/>
    </row>
    <row r="32" spans="1:6" x14ac:dyDescent="0.25">
      <c r="A32" s="115"/>
      <c r="B32" s="116" t="s">
        <v>85</v>
      </c>
      <c r="C32" s="122" t="s">
        <v>86</v>
      </c>
      <c r="D32" s="123" t="s">
        <v>87</v>
      </c>
      <c r="E32" s="123" t="s">
        <v>88</v>
      </c>
      <c r="F32" s="115"/>
    </row>
    <row r="33" spans="1:6" x14ac:dyDescent="0.25">
      <c r="A33" s="115"/>
      <c r="B33" s="116" t="s">
        <v>89</v>
      </c>
      <c r="C33" s="122" t="s">
        <v>90</v>
      </c>
      <c r="D33" s="123" t="s">
        <v>91</v>
      </c>
      <c r="E33" s="123" t="s">
        <v>92</v>
      </c>
      <c r="F33" s="115"/>
    </row>
    <row r="34" spans="1:6" x14ac:dyDescent="0.25">
      <c r="A34" s="115"/>
      <c r="B34" s="116" t="s">
        <v>93</v>
      </c>
      <c r="C34" s="122" t="s">
        <v>94</v>
      </c>
      <c r="D34" s="123" t="s">
        <v>95</v>
      </c>
      <c r="E34" s="123" t="s">
        <v>96</v>
      </c>
      <c r="F34" s="115"/>
    </row>
    <row r="35" spans="1:6" x14ac:dyDescent="0.25">
      <c r="A35" s="115"/>
      <c r="B35" s="116" t="s">
        <v>97</v>
      </c>
      <c r="C35" s="122" t="s">
        <v>98</v>
      </c>
      <c r="D35" s="123" t="s">
        <v>99</v>
      </c>
      <c r="E35" s="123" t="s">
        <v>100</v>
      </c>
      <c r="F35" s="115"/>
    </row>
    <row r="36" spans="1:6" x14ac:dyDescent="0.25">
      <c r="A36" s="115"/>
      <c r="B36" s="116" t="s">
        <v>101</v>
      </c>
      <c r="C36" s="122" t="s">
        <v>102</v>
      </c>
      <c r="D36" s="123" t="s">
        <v>103</v>
      </c>
      <c r="E36" s="123" t="s">
        <v>104</v>
      </c>
      <c r="F36" s="115"/>
    </row>
    <row r="37" spans="1:6" x14ac:dyDescent="0.25">
      <c r="A37" s="115"/>
      <c r="B37" s="116" t="s">
        <v>105</v>
      </c>
      <c r="C37" s="122" t="s">
        <v>106</v>
      </c>
      <c r="D37" s="123" t="s">
        <v>107</v>
      </c>
      <c r="E37" s="123" t="s">
        <v>108</v>
      </c>
      <c r="F37" s="115"/>
    </row>
    <row r="38" spans="1:6" x14ac:dyDescent="0.25">
      <c r="A38" s="115"/>
      <c r="B38" s="116" t="s">
        <v>109</v>
      </c>
      <c r="C38" s="122" t="s">
        <v>110</v>
      </c>
      <c r="D38" s="123" t="s">
        <v>111</v>
      </c>
      <c r="E38" s="123" t="s">
        <v>112</v>
      </c>
      <c r="F38" s="115"/>
    </row>
    <row r="39" spans="1:6" x14ac:dyDescent="0.25">
      <c r="A39" s="115"/>
      <c r="B39" s="116" t="s">
        <v>113</v>
      </c>
      <c r="C39" s="122" t="s">
        <v>114</v>
      </c>
      <c r="D39" s="123" t="s">
        <v>115</v>
      </c>
      <c r="E39" s="123" t="s">
        <v>116</v>
      </c>
      <c r="F39" s="115"/>
    </row>
    <row r="40" spans="1:6" x14ac:dyDescent="0.25">
      <c r="A40" s="115"/>
      <c r="B40" s="116" t="s">
        <v>117</v>
      </c>
      <c r="C40" s="122" t="s">
        <v>118</v>
      </c>
      <c r="D40" s="123" t="s">
        <v>119</v>
      </c>
      <c r="E40" s="123" t="s">
        <v>120</v>
      </c>
      <c r="F40" s="115"/>
    </row>
    <row r="41" spans="1:6" x14ac:dyDescent="0.25">
      <c r="A41" s="115"/>
      <c r="B41" s="116" t="s">
        <v>121</v>
      </c>
      <c r="C41" s="122" t="s">
        <v>122</v>
      </c>
      <c r="D41" s="123" t="s">
        <v>123</v>
      </c>
      <c r="E41" s="123" t="s">
        <v>123</v>
      </c>
      <c r="F41" s="115"/>
    </row>
    <row r="42" spans="1:6" x14ac:dyDescent="0.25">
      <c r="A42" s="115"/>
      <c r="B42" s="116" t="s">
        <v>124</v>
      </c>
      <c r="C42" s="122" t="s">
        <v>125</v>
      </c>
      <c r="D42" s="123" t="s">
        <v>126</v>
      </c>
      <c r="E42" s="123" t="s">
        <v>126</v>
      </c>
      <c r="F42" s="115"/>
    </row>
    <row r="43" spans="1:6" x14ac:dyDescent="0.25">
      <c r="A43" s="115"/>
      <c r="B43" s="116" t="s">
        <v>127</v>
      </c>
      <c r="C43" s="122" t="s">
        <v>128</v>
      </c>
      <c r="D43" s="123" t="s">
        <v>129</v>
      </c>
      <c r="E43" s="123" t="s">
        <v>128</v>
      </c>
      <c r="F43" s="115"/>
    </row>
    <row r="44" spans="1:6" x14ac:dyDescent="0.25">
      <c r="A44" s="115"/>
      <c r="B44" s="116" t="s">
        <v>130</v>
      </c>
      <c r="C44" s="122" t="s">
        <v>131</v>
      </c>
      <c r="D44" s="123" t="s">
        <v>132</v>
      </c>
      <c r="E44" s="123" t="s">
        <v>131</v>
      </c>
      <c r="F44" s="115"/>
    </row>
    <row r="45" spans="1:6" x14ac:dyDescent="0.25">
      <c r="A45" s="115"/>
      <c r="B45" s="116" t="s">
        <v>133</v>
      </c>
      <c r="C45" s="122" t="s">
        <v>134</v>
      </c>
      <c r="D45" s="123" t="s">
        <v>135</v>
      </c>
      <c r="E45" s="123" t="s">
        <v>136</v>
      </c>
      <c r="F45" s="115"/>
    </row>
    <row r="46" spans="1:6" x14ac:dyDescent="0.25">
      <c r="A46" s="115"/>
      <c r="B46" s="116" t="s">
        <v>137</v>
      </c>
      <c r="C46" s="122" t="s">
        <v>138</v>
      </c>
      <c r="D46" s="123" t="s">
        <v>138</v>
      </c>
      <c r="E46" s="123" t="s">
        <v>138</v>
      </c>
      <c r="F46" s="115"/>
    </row>
    <row r="47" spans="1:6" x14ac:dyDescent="0.25">
      <c r="A47" s="115"/>
      <c r="B47" s="116" t="s">
        <v>139</v>
      </c>
      <c r="C47" s="122" t="s">
        <v>140</v>
      </c>
      <c r="D47" s="123" t="s">
        <v>141</v>
      </c>
      <c r="E47" s="123" t="s">
        <v>142</v>
      </c>
      <c r="F47" s="115"/>
    </row>
    <row r="48" spans="1:6" x14ac:dyDescent="0.25">
      <c r="A48" s="115"/>
      <c r="B48" s="116" t="s">
        <v>143</v>
      </c>
      <c r="C48" s="122" t="s">
        <v>144</v>
      </c>
      <c r="D48" s="123" t="s">
        <v>145</v>
      </c>
      <c r="E48" s="123" t="s">
        <v>145</v>
      </c>
      <c r="F48" s="115"/>
    </row>
    <row r="49" spans="1:6" x14ac:dyDescent="0.25">
      <c r="A49" s="115"/>
      <c r="B49" s="115"/>
      <c r="C49" s="121"/>
      <c r="D49" s="121"/>
      <c r="E49" s="121"/>
      <c r="F49" s="115"/>
    </row>
    <row r="50" spans="1:6" ht="25" x14ac:dyDescent="0.25">
      <c r="A50" s="117" t="s">
        <v>11</v>
      </c>
      <c r="B50" s="116" t="s">
        <v>146</v>
      </c>
      <c r="C50" s="120" t="s">
        <v>147</v>
      </c>
      <c r="D50" s="120" t="s">
        <v>148</v>
      </c>
      <c r="E50" s="120" t="s">
        <v>149</v>
      </c>
      <c r="F50" s="121"/>
    </row>
    <row r="51" spans="1:6" ht="25" x14ac:dyDescent="0.25">
      <c r="A51" s="115"/>
      <c r="B51" s="116" t="s">
        <v>150</v>
      </c>
      <c r="C51" s="120" t="s">
        <v>151</v>
      </c>
      <c r="D51" s="120" t="s">
        <v>152</v>
      </c>
      <c r="E51" s="120" t="s">
        <v>153</v>
      </c>
      <c r="F51" s="121"/>
    </row>
    <row r="52" spans="1:6" ht="37.5" x14ac:dyDescent="0.25">
      <c r="A52" s="115"/>
      <c r="B52" s="116" t="s">
        <v>154</v>
      </c>
      <c r="C52" s="120" t="s">
        <v>155</v>
      </c>
      <c r="D52" s="120" t="s">
        <v>156</v>
      </c>
      <c r="E52" s="120" t="s">
        <v>157</v>
      </c>
      <c r="F52" s="121"/>
    </row>
    <row r="53" spans="1:6" ht="37.5" x14ac:dyDescent="0.25">
      <c r="A53" s="115"/>
      <c r="B53" s="116" t="s">
        <v>158</v>
      </c>
      <c r="C53" s="120" t="s">
        <v>159</v>
      </c>
      <c r="D53" s="120" t="s">
        <v>160</v>
      </c>
      <c r="E53" s="120" t="s">
        <v>161</v>
      </c>
      <c r="F53" s="121"/>
    </row>
    <row r="54" spans="1:6" x14ac:dyDescent="0.25">
      <c r="A54" s="115"/>
      <c r="B54" s="116" t="s">
        <v>162</v>
      </c>
      <c r="F54" s="121"/>
    </row>
    <row r="55" spans="1:6" x14ac:dyDescent="0.25">
      <c r="A55" s="115"/>
      <c r="B55" s="115"/>
      <c r="C55" s="121"/>
      <c r="D55" s="121"/>
      <c r="E55" s="121"/>
      <c r="F55" s="115"/>
    </row>
    <row r="56" spans="1:6" x14ac:dyDescent="0.25">
      <c r="A56" s="115"/>
      <c r="B56" s="116" t="s">
        <v>163</v>
      </c>
      <c r="C56" s="120" t="s">
        <v>164</v>
      </c>
      <c r="D56" s="120" t="s">
        <v>165</v>
      </c>
      <c r="E56" s="120" t="s">
        <v>166</v>
      </c>
      <c r="F56" s="115"/>
    </row>
    <row r="57" spans="1:6" x14ac:dyDescent="0.25">
      <c r="A57" s="115" t="s">
        <v>48</v>
      </c>
      <c r="B57" s="124" t="s">
        <v>167</v>
      </c>
      <c r="C57" s="125" t="s">
        <v>330</v>
      </c>
      <c r="D57" s="125" t="s">
        <v>331</v>
      </c>
      <c r="E57" s="125" t="s">
        <v>332</v>
      </c>
      <c r="F57" s="115"/>
    </row>
    <row r="58" spans="1:6" x14ac:dyDescent="0.25">
      <c r="A58" s="115"/>
      <c r="B58" s="115"/>
      <c r="C58" s="121"/>
      <c r="D58" s="121"/>
      <c r="E58" s="121"/>
      <c r="F58" s="115"/>
    </row>
    <row r="59" spans="1:6" ht="13" x14ac:dyDescent="0.25">
      <c r="A59" s="117"/>
      <c r="B59" s="118"/>
      <c r="C59" s="119"/>
      <c r="D59" s="119"/>
      <c r="E59" s="119"/>
      <c r="F59" s="115"/>
    </row>
    <row r="60" spans="1:6" x14ac:dyDescent="0.25">
      <c r="A60" s="115" t="s">
        <v>168</v>
      </c>
      <c r="B60" s="116" t="s">
        <v>280</v>
      </c>
      <c r="C60" s="120" t="s">
        <v>279</v>
      </c>
      <c r="D60" s="120" t="s">
        <v>328</v>
      </c>
      <c r="E60" s="120" t="s">
        <v>329</v>
      </c>
      <c r="F60" s="115"/>
    </row>
    <row r="61" spans="1:6" ht="13" x14ac:dyDescent="0.25">
      <c r="A61" s="117"/>
      <c r="B61" s="118"/>
      <c r="C61" s="119"/>
      <c r="D61" s="119"/>
      <c r="E61" s="119"/>
      <c r="F61" s="115"/>
    </row>
    <row r="62" spans="1:6" ht="13" x14ac:dyDescent="0.25">
      <c r="A62" s="117" t="s">
        <v>168</v>
      </c>
      <c r="B62" s="116" t="s">
        <v>169</v>
      </c>
      <c r="C62" s="120" t="s">
        <v>18</v>
      </c>
      <c r="D62" s="120" t="s">
        <v>18</v>
      </c>
      <c r="E62" s="120" t="s">
        <v>19</v>
      </c>
      <c r="F62" s="115"/>
    </row>
    <row r="63" spans="1:6" x14ac:dyDescent="0.25">
      <c r="A63" s="115"/>
      <c r="B63" s="116" t="s">
        <v>170</v>
      </c>
      <c r="C63" s="120" t="s">
        <v>171</v>
      </c>
      <c r="D63" s="120" t="s">
        <v>172</v>
      </c>
      <c r="E63" s="120" t="s">
        <v>173</v>
      </c>
      <c r="F63" s="115"/>
    </row>
    <row r="64" spans="1:6" x14ac:dyDescent="0.25">
      <c r="A64" s="115"/>
      <c r="B64" s="116" t="s">
        <v>174</v>
      </c>
      <c r="C64" s="120" t="s">
        <v>175</v>
      </c>
      <c r="D64" s="126" t="s">
        <v>176</v>
      </c>
      <c r="E64" s="120" t="s">
        <v>177</v>
      </c>
      <c r="F64" s="115"/>
    </row>
    <row r="65" spans="1:6" x14ac:dyDescent="0.25">
      <c r="A65" s="115"/>
      <c r="B65" s="116" t="s">
        <v>178</v>
      </c>
      <c r="C65" s="120" t="s">
        <v>179</v>
      </c>
      <c r="D65" s="120" t="s">
        <v>180</v>
      </c>
      <c r="E65" s="120" t="s">
        <v>296</v>
      </c>
      <c r="F65" s="115"/>
    </row>
    <row r="66" spans="1:6" x14ac:dyDescent="0.25">
      <c r="A66" s="115"/>
      <c r="B66" s="116" t="s">
        <v>181</v>
      </c>
      <c r="C66" s="120" t="s">
        <v>182</v>
      </c>
      <c r="D66" s="120" t="s">
        <v>183</v>
      </c>
      <c r="E66" s="120" t="s">
        <v>297</v>
      </c>
      <c r="F66" s="115"/>
    </row>
    <row r="67" spans="1:6" x14ac:dyDescent="0.25">
      <c r="A67" s="115"/>
      <c r="B67" s="116" t="s">
        <v>184</v>
      </c>
      <c r="C67" s="120" t="s">
        <v>185</v>
      </c>
      <c r="D67" s="120" t="s">
        <v>186</v>
      </c>
      <c r="E67" s="120" t="s">
        <v>298</v>
      </c>
      <c r="F67" s="115"/>
    </row>
    <row r="68" spans="1:6" x14ac:dyDescent="0.25">
      <c r="A68" s="115"/>
      <c r="B68" s="116" t="s">
        <v>187</v>
      </c>
      <c r="C68" s="120" t="s">
        <v>188</v>
      </c>
      <c r="D68" s="120" t="s">
        <v>189</v>
      </c>
      <c r="E68" s="120" t="s">
        <v>299</v>
      </c>
      <c r="F68" s="115"/>
    </row>
    <row r="69" spans="1:6" ht="13" x14ac:dyDescent="0.25">
      <c r="A69" s="117"/>
      <c r="B69" s="118"/>
      <c r="C69" s="119"/>
      <c r="D69" s="119"/>
      <c r="E69" s="119"/>
      <c r="F69" s="115"/>
    </row>
    <row r="70" spans="1:6" x14ac:dyDescent="0.25">
      <c r="A70" s="115"/>
      <c r="B70" s="116" t="s">
        <v>190</v>
      </c>
      <c r="C70" s="120" t="s">
        <v>191</v>
      </c>
      <c r="D70" s="120" t="s">
        <v>192</v>
      </c>
      <c r="E70" s="120" t="s">
        <v>300</v>
      </c>
      <c r="F70" s="115"/>
    </row>
    <row r="71" spans="1:6" x14ac:dyDescent="0.25">
      <c r="A71" s="115"/>
      <c r="B71" s="116" t="s">
        <v>193</v>
      </c>
      <c r="C71" s="120" t="s">
        <v>194</v>
      </c>
      <c r="D71" s="120" t="s">
        <v>195</v>
      </c>
      <c r="E71" s="120" t="s">
        <v>301</v>
      </c>
      <c r="F71" s="115"/>
    </row>
    <row r="72" spans="1:6" x14ac:dyDescent="0.25">
      <c r="A72" s="115"/>
      <c r="B72" s="116" t="s">
        <v>196</v>
      </c>
      <c r="C72" s="122" t="s">
        <v>197</v>
      </c>
      <c r="D72" s="120" t="s">
        <v>197</v>
      </c>
      <c r="E72" s="120" t="s">
        <v>197</v>
      </c>
      <c r="F72" s="115"/>
    </row>
    <row r="73" spans="1:6" x14ac:dyDescent="0.25">
      <c r="A73" s="115"/>
      <c r="B73" s="116" t="s">
        <v>198</v>
      </c>
      <c r="C73" s="120" t="s">
        <v>199</v>
      </c>
      <c r="D73" s="120" t="s">
        <v>199</v>
      </c>
      <c r="E73" s="120" t="s">
        <v>199</v>
      </c>
      <c r="F73" s="115"/>
    </row>
    <row r="74" spans="1:6" x14ac:dyDescent="0.25">
      <c r="A74" s="115"/>
      <c r="B74" s="116" t="s">
        <v>200</v>
      </c>
      <c r="C74" s="120" t="s">
        <v>201</v>
      </c>
      <c r="D74" s="120" t="s">
        <v>201</v>
      </c>
      <c r="E74" s="120" t="s">
        <v>201</v>
      </c>
      <c r="F74" s="115"/>
    </row>
    <row r="75" spans="1:6" x14ac:dyDescent="0.25">
      <c r="A75" s="115"/>
      <c r="B75" s="116" t="s">
        <v>202</v>
      </c>
      <c r="C75" s="120" t="s">
        <v>203</v>
      </c>
      <c r="D75" s="120" t="s">
        <v>204</v>
      </c>
      <c r="E75" s="120" t="s">
        <v>302</v>
      </c>
      <c r="F75" s="115"/>
    </row>
    <row r="76" spans="1:6" x14ac:dyDescent="0.25">
      <c r="A76" s="115"/>
      <c r="B76" s="116" t="s">
        <v>205</v>
      </c>
      <c r="C76" s="122" t="s">
        <v>206</v>
      </c>
      <c r="D76" s="120" t="s">
        <v>207</v>
      </c>
      <c r="E76" s="120" t="s">
        <v>303</v>
      </c>
      <c r="F76" s="115"/>
    </row>
    <row r="77" spans="1:6" x14ac:dyDescent="0.25">
      <c r="A77" s="115"/>
      <c r="B77" s="116" t="s">
        <v>208</v>
      </c>
      <c r="C77" s="122" t="s">
        <v>209</v>
      </c>
      <c r="D77" s="120" t="s">
        <v>210</v>
      </c>
      <c r="E77" s="120" t="s">
        <v>304</v>
      </c>
      <c r="F77" s="115"/>
    </row>
    <row r="78" spans="1:6" x14ac:dyDescent="0.25">
      <c r="A78" s="115"/>
      <c r="B78" s="116" t="s">
        <v>211</v>
      </c>
      <c r="C78" s="122" t="s">
        <v>212</v>
      </c>
      <c r="D78" s="120" t="s">
        <v>213</v>
      </c>
      <c r="E78" s="120" t="s">
        <v>305</v>
      </c>
      <c r="F78" s="115"/>
    </row>
    <row r="79" spans="1:6" x14ac:dyDescent="0.25">
      <c r="A79" s="115"/>
      <c r="B79" s="116" t="s">
        <v>214</v>
      </c>
      <c r="C79" s="122" t="s">
        <v>215</v>
      </c>
      <c r="D79" s="120" t="s">
        <v>216</v>
      </c>
      <c r="E79" s="120" t="s">
        <v>306</v>
      </c>
      <c r="F79" s="115"/>
    </row>
    <row r="80" spans="1:6" x14ac:dyDescent="0.25">
      <c r="A80" s="115"/>
      <c r="B80" s="116" t="s">
        <v>217</v>
      </c>
      <c r="C80" s="122" t="s">
        <v>218</v>
      </c>
      <c r="D80" s="120" t="s">
        <v>219</v>
      </c>
      <c r="E80" s="120" t="s">
        <v>307</v>
      </c>
      <c r="F80" s="115"/>
    </row>
    <row r="81" spans="1:6" x14ac:dyDescent="0.25">
      <c r="A81" s="115"/>
      <c r="B81" s="116" t="s">
        <v>220</v>
      </c>
      <c r="C81" s="122" t="s">
        <v>221</v>
      </c>
      <c r="D81" s="120" t="s">
        <v>222</v>
      </c>
      <c r="E81" s="120" t="s">
        <v>308</v>
      </c>
      <c r="F81" s="115"/>
    </row>
    <row r="82" spans="1:6" x14ac:dyDescent="0.25">
      <c r="A82" s="115"/>
      <c r="B82" s="116" t="s">
        <v>223</v>
      </c>
      <c r="C82" s="122" t="s">
        <v>224</v>
      </c>
      <c r="D82" s="120" t="s">
        <v>225</v>
      </c>
      <c r="E82" s="120" t="s">
        <v>309</v>
      </c>
      <c r="F82" s="115"/>
    </row>
    <row r="83" spans="1:6" x14ac:dyDescent="0.25">
      <c r="A83" s="115"/>
      <c r="B83" s="116" t="s">
        <v>226</v>
      </c>
      <c r="C83" s="122" t="s">
        <v>227</v>
      </c>
      <c r="D83" s="120" t="s">
        <v>228</v>
      </c>
      <c r="E83" s="120" t="s">
        <v>310</v>
      </c>
      <c r="F83" s="115"/>
    </row>
    <row r="84" spans="1:6" x14ac:dyDescent="0.25">
      <c r="A84" s="115"/>
      <c r="B84" s="116" t="s">
        <v>229</v>
      </c>
      <c r="C84" s="122" t="s">
        <v>230</v>
      </c>
      <c r="D84" s="120" t="s">
        <v>231</v>
      </c>
      <c r="E84" s="120" t="s">
        <v>311</v>
      </c>
      <c r="F84" s="115"/>
    </row>
    <row r="85" spans="1:6" x14ac:dyDescent="0.25">
      <c r="A85" s="115"/>
      <c r="B85" s="116" t="s">
        <v>232</v>
      </c>
      <c r="C85" s="122" t="s">
        <v>233</v>
      </c>
      <c r="D85" s="120" t="s">
        <v>234</v>
      </c>
      <c r="E85" s="120" t="s">
        <v>312</v>
      </c>
      <c r="F85" s="115"/>
    </row>
    <row r="86" spans="1:6" x14ac:dyDescent="0.25">
      <c r="A86" s="115"/>
      <c r="B86" s="116" t="s">
        <v>235</v>
      </c>
      <c r="C86" s="122" t="s">
        <v>236</v>
      </c>
      <c r="D86" s="120" t="s">
        <v>237</v>
      </c>
      <c r="E86" s="120" t="s">
        <v>313</v>
      </c>
      <c r="F86" s="115"/>
    </row>
    <row r="87" spans="1:6" x14ac:dyDescent="0.25">
      <c r="A87" s="115"/>
      <c r="B87" s="116" t="s">
        <v>238</v>
      </c>
      <c r="C87" s="122" t="s">
        <v>239</v>
      </c>
      <c r="D87" s="120" t="s">
        <v>240</v>
      </c>
      <c r="E87" s="120" t="s">
        <v>314</v>
      </c>
      <c r="F87" s="115"/>
    </row>
    <row r="88" spans="1:6" x14ac:dyDescent="0.25">
      <c r="A88" s="115"/>
      <c r="B88" s="116" t="s">
        <v>241</v>
      </c>
      <c r="C88" s="122" t="s">
        <v>242</v>
      </c>
      <c r="D88" s="120" t="s">
        <v>243</v>
      </c>
      <c r="E88" s="120" t="s">
        <v>315</v>
      </c>
      <c r="F88" s="115"/>
    </row>
    <row r="89" spans="1:6" x14ac:dyDescent="0.25">
      <c r="A89" s="115"/>
      <c r="B89" s="116" t="s">
        <v>244</v>
      </c>
      <c r="C89" s="122" t="s">
        <v>245</v>
      </c>
      <c r="D89" s="120" t="s">
        <v>246</v>
      </c>
      <c r="E89" s="120" t="s">
        <v>316</v>
      </c>
      <c r="F89" s="115"/>
    </row>
    <row r="90" spans="1:6" x14ac:dyDescent="0.25">
      <c r="A90" s="115"/>
      <c r="B90" s="116" t="s">
        <v>247</v>
      </c>
      <c r="C90" s="122" t="s">
        <v>248</v>
      </c>
      <c r="D90" s="120" t="s">
        <v>249</v>
      </c>
      <c r="E90" s="120" t="s">
        <v>317</v>
      </c>
      <c r="F90" s="115"/>
    </row>
    <row r="91" spans="1:6" x14ac:dyDescent="0.25">
      <c r="A91" s="115"/>
      <c r="B91" s="116" t="s">
        <v>250</v>
      </c>
      <c r="C91" s="122" t="s">
        <v>251</v>
      </c>
      <c r="D91" s="120" t="s">
        <v>252</v>
      </c>
      <c r="E91" s="120" t="s">
        <v>318</v>
      </c>
      <c r="F91" s="115"/>
    </row>
    <row r="92" spans="1:6" x14ac:dyDescent="0.25">
      <c r="A92" s="115"/>
      <c r="B92" s="116" t="s">
        <v>253</v>
      </c>
      <c r="C92" s="122" t="s">
        <v>254</v>
      </c>
      <c r="D92" s="120" t="s">
        <v>255</v>
      </c>
      <c r="E92" s="120" t="s">
        <v>319</v>
      </c>
      <c r="F92" s="115"/>
    </row>
    <row r="93" spans="1:6" x14ac:dyDescent="0.25">
      <c r="A93" s="115"/>
      <c r="B93" s="116" t="s">
        <v>256</v>
      </c>
      <c r="C93" s="122" t="s">
        <v>257</v>
      </c>
      <c r="D93" s="120" t="s">
        <v>258</v>
      </c>
      <c r="E93" s="120" t="s">
        <v>320</v>
      </c>
      <c r="F93" s="115"/>
    </row>
    <row r="94" spans="1:6" ht="25" x14ac:dyDescent="0.25">
      <c r="A94" s="115"/>
      <c r="B94" s="116" t="s">
        <v>259</v>
      </c>
      <c r="C94" s="122" t="s">
        <v>260</v>
      </c>
      <c r="D94" s="120" t="s">
        <v>261</v>
      </c>
      <c r="E94" s="120" t="s">
        <v>321</v>
      </c>
      <c r="F94" s="115"/>
    </row>
    <row r="95" spans="1:6" ht="37.5" x14ac:dyDescent="0.25">
      <c r="A95" s="115"/>
      <c r="B95" s="116" t="s">
        <v>262</v>
      </c>
      <c r="C95" s="122" t="s">
        <v>263</v>
      </c>
      <c r="D95" s="120" t="s">
        <v>264</v>
      </c>
      <c r="E95" s="120" t="s">
        <v>322</v>
      </c>
      <c r="F95" s="115"/>
    </row>
    <row r="96" spans="1:6" ht="25" x14ac:dyDescent="0.25">
      <c r="A96" s="115"/>
      <c r="B96" s="116" t="s">
        <v>265</v>
      </c>
      <c r="C96" s="122" t="s">
        <v>266</v>
      </c>
      <c r="D96" s="120" t="s">
        <v>267</v>
      </c>
      <c r="E96" s="120" t="s">
        <v>323</v>
      </c>
      <c r="F96" s="115"/>
    </row>
    <row r="97" spans="1:6" x14ac:dyDescent="0.25">
      <c r="A97" s="115"/>
      <c r="B97" s="116" t="s">
        <v>268</v>
      </c>
      <c r="C97" s="122" t="s">
        <v>269</v>
      </c>
      <c r="D97" s="120" t="s">
        <v>270</v>
      </c>
      <c r="E97" s="120" t="s">
        <v>324</v>
      </c>
      <c r="F97" s="115"/>
    </row>
    <row r="98" spans="1:6" x14ac:dyDescent="0.25">
      <c r="A98" s="115"/>
      <c r="B98" s="116" t="s">
        <v>271</v>
      </c>
      <c r="C98" s="122" t="s">
        <v>272</v>
      </c>
      <c r="D98" s="120" t="s">
        <v>273</v>
      </c>
      <c r="E98" s="120" t="s">
        <v>325</v>
      </c>
      <c r="F98" s="115"/>
    </row>
    <row r="99" spans="1:6" x14ac:dyDescent="0.25">
      <c r="A99" s="115"/>
      <c r="B99" s="116" t="s">
        <v>274</v>
      </c>
      <c r="C99" s="122" t="s">
        <v>275</v>
      </c>
      <c r="D99" s="120" t="s">
        <v>276</v>
      </c>
      <c r="E99" s="120" t="s">
        <v>326</v>
      </c>
      <c r="F99" s="115"/>
    </row>
    <row r="100" spans="1:6" x14ac:dyDescent="0.25">
      <c r="A100" s="115"/>
      <c r="B100" s="115"/>
      <c r="C100" s="121"/>
      <c r="D100" s="121"/>
      <c r="E100" s="115"/>
      <c r="F100" s="115"/>
    </row>
    <row r="101" spans="1:6" x14ac:dyDescent="0.25">
      <c r="A101" s="115" t="s">
        <v>168</v>
      </c>
      <c r="B101" s="124" t="s">
        <v>277</v>
      </c>
      <c r="C101" s="125" t="s">
        <v>330</v>
      </c>
      <c r="D101" s="125" t="s">
        <v>331</v>
      </c>
      <c r="E101" s="125" t="s">
        <v>332</v>
      </c>
      <c r="F101" s="115"/>
    </row>
    <row r="102" spans="1:6" x14ac:dyDescent="0.25">
      <c r="A102" s="115"/>
      <c r="B102" s="115"/>
      <c r="C102" s="121"/>
      <c r="D102" s="121"/>
      <c r="E102" s="115"/>
      <c r="F102" s="115"/>
    </row>
    <row r="103" spans="1:6" x14ac:dyDescent="0.25">
      <c r="C103" s="116"/>
      <c r="D103" s="116"/>
      <c r="E103" s="116"/>
    </row>
    <row r="104" spans="1:6" x14ac:dyDescent="0.25">
      <c r="B104" s="120"/>
      <c r="E104" s="116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D26AD4D433F842B31B8F2E11C3D7DD" ma:contentTypeVersion="6" ma:contentTypeDescription="Ein neues Dokument erstellen." ma:contentTypeScope="" ma:versionID="fc86b419a5312ef30388d69da23aeff4">
  <xsd:schema xmlns:xsd="http://www.w3.org/2001/XMLSchema" xmlns:xs="http://www.w3.org/2001/XMLSchema" xmlns:p="http://schemas.microsoft.com/office/2006/metadata/properties" xmlns:ns1="http://schemas.microsoft.com/sharepoint/v3" xmlns:ns2="e8a48d95-b6dc-46ea-8dee-11ddfc24d8d8" targetNamespace="http://schemas.microsoft.com/office/2006/metadata/properties" ma:root="true" ma:fieldsID="c8472c40e3417b7de721acd23c96858c" ns1:_="" ns2:_="">
    <xsd:import namespace="http://schemas.microsoft.com/sharepoint/v3"/>
    <xsd:import namespace="e8a48d95-b6dc-46ea-8dee-11ddfc24d8d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48d95-b6dc-46ea-8dee-11ddfc24d8d8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e8a48d95-b6dc-46ea-8dee-11ddfc24d8d8">Erwerbstätigkeit</Kategorie>
    <Benutzerdefinierte_x0020_ID xmlns="e8a48d95-b6dc-46ea-8dee-11ddfc24d8d8">1004</Benutzerdefinierte_x0020_ID>
    <Titel_IT xmlns="e8a48d95-b6dc-46ea-8dee-11ddfc24d8d8">Condizione professionale nei Grigioni e in Svizzera, 2022</Titel_IT>
    <Titel_RM xmlns="e8a48d95-b6dc-46ea-8dee-11ddfc24d8d8">Status dal gudogn en il Grischun ed en Svizra, 2022</Titel_RM>
    <Titel_DE xmlns="e8a48d95-b6dc-46ea-8dee-11ddfc24d8d8">Erwerbsstatus Graubünden und Schweiz, 2022</Titel_D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83728B-C3E1-461E-BDA9-0077A95BC78B}"/>
</file>

<file path=customXml/itemProps2.xml><?xml version="1.0" encoding="utf-8"?>
<ds:datastoreItem xmlns:ds="http://schemas.openxmlformats.org/officeDocument/2006/customXml" ds:itemID="{B48D6C62-FDD6-4F86-AB00-200718A2BDA2}"/>
</file>

<file path=customXml/itemProps3.xml><?xml version="1.0" encoding="utf-8"?>
<ds:datastoreItem xmlns:ds="http://schemas.openxmlformats.org/officeDocument/2006/customXml" ds:itemID="{E0EFFCA7-2D7E-4B0D-95BF-BA3E54AA170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Schweiz</vt:lpstr>
      <vt:lpstr>Graubünden</vt:lpstr>
      <vt:lpstr>Uebersetzungen</vt:lpstr>
    </vt:vector>
  </TitlesOfParts>
  <Manager/>
  <Company>Kantonale Verwaltung Graubünden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Erwerbsstatus Graubünden und Schweiz</dc:title>
  <dc:subject/>
  <dc:creator>Luzius.Stricker@awt.gr.ch</dc:creator>
  <cp:keywords/>
  <dc:description/>
  <cp:lastModifiedBy>Stricker Luzius</cp:lastModifiedBy>
  <cp:revision/>
  <dcterms:created xsi:type="dcterms:W3CDTF">2017-05-04T09:10:20Z</dcterms:created>
  <dcterms:modified xsi:type="dcterms:W3CDTF">2024-02-20T16:48:07Z</dcterms:modified>
  <cp:category>Strukturerhebung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0x01010028D26AD4D433F842B31B8F2E11C3D7DD</vt:lpwstr>
  </property>
</Properties>
</file>